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60" yWindow="420" windowWidth="15480" windowHeight="8145"/>
  </bookViews>
  <sheets>
    <sheet name="Calculation template" sheetId="3" r:id="rId1"/>
    <sheet name="EC ion parameters" sheetId="4" state="hidden" r:id="rId2"/>
  </sheets>
  <definedNames>
    <definedName name="_xlnm.Database">#REF!</definedName>
  </definedNames>
  <calcPr calcId="125725"/>
</workbook>
</file>

<file path=xl/calcChain.xml><?xml version="1.0" encoding="utf-8"?>
<calcChain xmlns="http://schemas.openxmlformats.org/spreadsheetml/2006/main">
  <c r="F5" i="3"/>
  <c r="C15" i="4" l="1"/>
  <c r="B15"/>
  <c r="C14"/>
  <c r="B14"/>
  <c r="C13"/>
  <c r="B13"/>
  <c r="C12"/>
  <c r="B12"/>
  <c r="C11"/>
  <c r="B11"/>
  <c r="C10"/>
  <c r="B10"/>
  <c r="C9"/>
  <c r="B9"/>
  <c r="C8"/>
  <c r="B8"/>
  <c r="C7"/>
  <c r="B7"/>
  <c r="C6"/>
  <c r="B6"/>
  <c r="C5"/>
  <c r="B5"/>
  <c r="W9" i="3"/>
  <c r="W7"/>
  <c r="V10"/>
  <c r="W10" s="1"/>
  <c r="V9"/>
  <c r="V8"/>
  <c r="W8" s="1"/>
  <c r="V7"/>
  <c r="V6"/>
  <c r="W6" s="1"/>
  <c r="V5"/>
  <c r="W5"/>
  <c r="AM10"/>
  <c r="AL10"/>
  <c r="AK10"/>
  <c r="AJ10"/>
  <c r="AI10"/>
  <c r="AH10"/>
  <c r="AG10"/>
  <c r="AF10"/>
  <c r="AE10"/>
  <c r="AD10"/>
  <c r="AC10"/>
  <c r="AB10"/>
  <c r="BI10" s="1"/>
  <c r="BJ10" s="1"/>
  <c r="Y10"/>
  <c r="E10"/>
  <c r="X10" s="1"/>
  <c r="AM9"/>
  <c r="AN9" s="1"/>
  <c r="AL9"/>
  <c r="AK9"/>
  <c r="AJ9"/>
  <c r="AI9"/>
  <c r="AH9"/>
  <c r="AG9"/>
  <c r="AF9"/>
  <c r="AE9"/>
  <c r="AD9"/>
  <c r="AC9"/>
  <c r="AB9"/>
  <c r="Z9"/>
  <c r="Y9"/>
  <c r="E9"/>
  <c r="X9" s="1"/>
  <c r="AM8"/>
  <c r="AN8" s="1"/>
  <c r="AL8"/>
  <c r="AK8"/>
  <c r="AJ8"/>
  <c r="AI8"/>
  <c r="AH8"/>
  <c r="AG8"/>
  <c r="AF8"/>
  <c r="AE8"/>
  <c r="AD8"/>
  <c r="AC8"/>
  <c r="AB8"/>
  <c r="BI8" s="1"/>
  <c r="BJ8" s="1"/>
  <c r="BK8" s="1"/>
  <c r="BL8" s="1"/>
  <c r="Z8"/>
  <c r="Y8"/>
  <c r="E8"/>
  <c r="X8" s="1"/>
  <c r="AM7"/>
  <c r="AN7" s="1"/>
  <c r="AL7"/>
  <c r="AK7"/>
  <c r="AJ7"/>
  <c r="AI7"/>
  <c r="AH7"/>
  <c r="AG7"/>
  <c r="AF7"/>
  <c r="AE7"/>
  <c r="AD7"/>
  <c r="AC7"/>
  <c r="AB7"/>
  <c r="Y7"/>
  <c r="E7"/>
  <c r="X7" s="1"/>
  <c r="AM6"/>
  <c r="AN6" s="1"/>
  <c r="AL6"/>
  <c r="AK6"/>
  <c r="AJ6"/>
  <c r="AI6"/>
  <c r="AH6"/>
  <c r="AG6"/>
  <c r="AF6"/>
  <c r="AE6"/>
  <c r="AD6"/>
  <c r="AC6"/>
  <c r="AB6"/>
  <c r="Z6"/>
  <c r="Y6"/>
  <c r="E6"/>
  <c r="X6" s="1"/>
  <c r="AM5"/>
  <c r="AN5" s="1"/>
  <c r="AL5"/>
  <c r="AK5"/>
  <c r="AJ5"/>
  <c r="AI5"/>
  <c r="AH5"/>
  <c r="AG5"/>
  <c r="AF5"/>
  <c r="AE5"/>
  <c r="AD5"/>
  <c r="AC5"/>
  <c r="AB5"/>
  <c r="Y5"/>
  <c r="E5"/>
  <c r="X5" s="1"/>
  <c r="BI6" l="1"/>
  <c r="BJ6" s="1"/>
  <c r="BK6" s="1"/>
  <c r="BL6" s="1"/>
  <c r="AA9"/>
  <c r="AU6"/>
  <c r="AU8"/>
  <c r="BI5"/>
  <c r="BJ5" s="1"/>
  <c r="BK5" s="1"/>
  <c r="BL5" s="1"/>
  <c r="AU5" s="1"/>
  <c r="BI7"/>
  <c r="BJ7" s="1"/>
  <c r="BK7" s="1"/>
  <c r="BL7" s="1"/>
  <c r="AU7" s="1"/>
  <c r="BI9"/>
  <c r="BJ9" s="1"/>
  <c r="BK9" s="1"/>
  <c r="BL9" s="1"/>
  <c r="AU9" s="1"/>
  <c r="AA6"/>
  <c r="AT7"/>
  <c r="AA8"/>
  <c r="AO7"/>
  <c r="AS7" s="1"/>
  <c r="AO5"/>
  <c r="AQ5" s="1"/>
  <c r="AR5"/>
  <c r="AO9"/>
  <c r="AR9" s="1"/>
  <c r="AN10"/>
  <c r="BK10" s="1"/>
  <c r="BL10" s="1"/>
  <c r="AU10" s="1"/>
  <c r="Z10"/>
  <c r="AA10" s="1"/>
  <c r="AT8"/>
  <c r="AS9"/>
  <c r="AT6"/>
  <c r="Z5"/>
  <c r="AA5" s="1"/>
  <c r="AP5"/>
  <c r="BF5" s="1"/>
  <c r="AT5"/>
  <c r="AW5"/>
  <c r="AO6"/>
  <c r="AR6" s="1"/>
  <c r="Z7"/>
  <c r="AA7" s="1"/>
  <c r="AP7"/>
  <c r="AW7" s="1"/>
  <c r="AO8"/>
  <c r="AS8" s="1"/>
  <c r="AP9"/>
  <c r="AW9" s="1"/>
  <c r="AT9"/>
  <c r="AY9"/>
  <c r="AT10"/>
  <c r="AR7" l="1"/>
  <c r="AY7"/>
  <c r="AQ7"/>
  <c r="AO10"/>
  <c r="AS10" s="1"/>
  <c r="BB9"/>
  <c r="AQ9"/>
  <c r="AR8"/>
  <c r="AQ6"/>
  <c r="AS6"/>
  <c r="BG9"/>
  <c r="BC9"/>
  <c r="BE9"/>
  <c r="BA9"/>
  <c r="BG7"/>
  <c r="BE7"/>
  <c r="BC7"/>
  <c r="BA7"/>
  <c r="BF7"/>
  <c r="BD7"/>
  <c r="AZ7"/>
  <c r="AX7"/>
  <c r="BB7"/>
  <c r="BG5"/>
  <c r="BE5"/>
  <c r="BC5"/>
  <c r="BA5"/>
  <c r="BD5"/>
  <c r="AZ5"/>
  <c r="BB5"/>
  <c r="AX5"/>
  <c r="AP6"/>
  <c r="AP8"/>
  <c r="AZ9"/>
  <c r="BF9"/>
  <c r="BD9"/>
  <c r="AX9"/>
  <c r="AQ8"/>
  <c r="AY5"/>
  <c r="AS5"/>
  <c r="F9" l="1"/>
  <c r="G9" s="1"/>
  <c r="G5"/>
  <c r="F7"/>
  <c r="G7" s="1"/>
  <c r="AQ10"/>
  <c r="BB8"/>
  <c r="AZ8"/>
  <c r="BD8"/>
  <c r="BA8"/>
  <c r="AW8"/>
  <c r="AX8"/>
  <c r="BC8"/>
  <c r="AY8"/>
  <c r="BE8"/>
  <c r="BG8"/>
  <c r="BF8"/>
  <c r="BF6"/>
  <c r="BB6"/>
  <c r="AZ6"/>
  <c r="BG6"/>
  <c r="BE6"/>
  <c r="BA6"/>
  <c r="AY6"/>
  <c r="BC6"/>
  <c r="AW6"/>
  <c r="BD6"/>
  <c r="AX6"/>
  <c r="AR10"/>
  <c r="AP10"/>
  <c r="BB10" l="1"/>
  <c r="BD10"/>
  <c r="AZ10"/>
  <c r="BC10"/>
  <c r="BA10"/>
  <c r="BG10"/>
  <c r="BF10"/>
  <c r="BE10"/>
  <c r="AW10"/>
  <c r="AY10"/>
  <c r="AX10"/>
  <c r="F8"/>
  <c r="G8" s="1"/>
  <c r="F6"/>
  <c r="G6" s="1"/>
  <c r="F10" l="1"/>
  <c r="G10" s="1"/>
</calcChain>
</file>

<file path=xl/sharedStrings.xml><?xml version="1.0" encoding="utf-8"?>
<sst xmlns="http://schemas.openxmlformats.org/spreadsheetml/2006/main" count="133" uniqueCount="93">
  <si>
    <t>EC</t>
  </si>
  <si>
    <t>TDS</t>
  </si>
  <si>
    <t>PH</t>
  </si>
  <si>
    <t>NA</t>
  </si>
  <si>
    <t>MG</t>
  </si>
  <si>
    <t>CA</t>
  </si>
  <si>
    <t>F</t>
  </si>
  <si>
    <t>CL</t>
  </si>
  <si>
    <t>SO4</t>
  </si>
  <si>
    <t>PO4</t>
  </si>
  <si>
    <t>TAL</t>
  </si>
  <si>
    <t>SI</t>
  </si>
  <si>
    <t>K</t>
  </si>
  <si>
    <t>NH4</t>
  </si>
  <si>
    <t>A1H001Q01</t>
  </si>
  <si>
    <t>Charge Balance</t>
  </si>
  <si>
    <t>[TAL]</t>
  </si>
  <si>
    <t>[HCO3]</t>
  </si>
  <si>
    <t>[CO3]</t>
  </si>
  <si>
    <t>mS/m</t>
  </si>
  <si>
    <t>mg/L</t>
  </si>
  <si>
    <t>mg/L CaCO3</t>
  </si>
  <si>
    <t>meq/L</t>
  </si>
  <si>
    <t>%</t>
  </si>
  <si>
    <t>[NA]</t>
  </si>
  <si>
    <t>[MG]</t>
  </si>
  <si>
    <t>[CA]</t>
  </si>
  <si>
    <t>[F]</t>
  </si>
  <si>
    <t>[CL]</t>
  </si>
  <si>
    <t>NO2+NO3</t>
  </si>
  <si>
    <t>[NO3]</t>
  </si>
  <si>
    <t>[SO4]</t>
  </si>
  <si>
    <t>[PO4]</t>
  </si>
  <si>
    <t>[SI]</t>
  </si>
  <si>
    <t>[K]</t>
  </si>
  <si>
    <t>[NH4]</t>
  </si>
  <si>
    <t>mmol/L</t>
  </si>
  <si>
    <t>CHARGE BALANCE CALCULATION</t>
  </si>
  <si>
    <r>
      <rPr>
        <sz val="9"/>
        <color theme="1"/>
        <rFont val="Symbol"/>
        <family val="1"/>
        <charset val="2"/>
      </rPr>
      <t>m</t>
    </r>
    <r>
      <rPr>
        <sz val="9"/>
        <color theme="1"/>
        <rFont val="Calibri"/>
        <family val="2"/>
        <scheme val="minor"/>
      </rPr>
      <t>S/cm</t>
    </r>
  </si>
  <si>
    <t>SAMPLE NUMBER AND SAMPLING DATE</t>
  </si>
  <si>
    <t>NUMBER</t>
  </si>
  <si>
    <t>DATE</t>
  </si>
  <si>
    <t>YEAR</t>
  </si>
  <si>
    <t>ELECTRICAL CONDUCTIVITY</t>
  </si>
  <si>
    <t>I</t>
  </si>
  <si>
    <t>IONIC STRENGTH</t>
  </si>
  <si>
    <t>[HCO3]+2[CO3]</t>
  </si>
  <si>
    <t>2[SO4]</t>
  </si>
  <si>
    <t>SAR</t>
  </si>
  <si>
    <t>adj. SAR</t>
  </si>
  <si>
    <t>SODIUM ADSORPTION RATIO</t>
  </si>
  <si>
    <t xml:space="preserve"> Ca</t>
  </si>
  <si>
    <t>Mg</t>
  </si>
  <si>
    <t>Na</t>
  </si>
  <si>
    <t>Cl</t>
  </si>
  <si>
    <t>NO3</t>
  </si>
  <si>
    <t>CO3</t>
  </si>
  <si>
    <t>EC (calc.)</t>
  </si>
  <si>
    <r>
      <t>l</t>
    </r>
    <r>
      <rPr>
        <b/>
        <vertAlign val="superscript"/>
        <sz val="11"/>
        <color theme="1"/>
        <rFont val="Symbol"/>
        <family val="1"/>
        <charset val="2"/>
      </rPr>
      <t>o</t>
    </r>
  </si>
  <si>
    <r>
      <rPr>
        <b/>
        <i/>
        <sz val="11"/>
        <color theme="1"/>
        <rFont val="Times New Roman"/>
        <family val="1"/>
      </rPr>
      <t>z</t>
    </r>
    <r>
      <rPr>
        <b/>
        <vertAlign val="subscript"/>
        <sz val="11"/>
        <color theme="1"/>
        <rFont val="Calibri"/>
        <family val="2"/>
        <scheme val="minor"/>
      </rPr>
      <t>i</t>
    </r>
  </si>
  <si>
    <t>HCO3</t>
  </si>
  <si>
    <r>
      <t>MOLAR CONCENTRATIONS IN 10</t>
    </r>
    <r>
      <rPr>
        <b/>
        <vertAlign val="superscript"/>
        <sz val="10"/>
        <color theme="1"/>
        <rFont val="Symbol"/>
        <family val="1"/>
        <charset val="2"/>
      </rPr>
      <t>-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 xml:space="preserve"> MOL PER LITER (MMOL/L)</t>
    </r>
  </si>
  <si>
    <r>
      <rPr>
        <b/>
        <sz val="10"/>
        <color theme="1"/>
        <rFont val="Symbol"/>
        <family val="1"/>
        <charset val="2"/>
      </rPr>
      <t>l</t>
    </r>
    <r>
      <rPr>
        <b/>
        <vertAlign val="subscript"/>
        <sz val="10"/>
        <color theme="1"/>
        <rFont val="Calibri"/>
        <family val="2"/>
        <scheme val="minor"/>
      </rPr>
      <t>i</t>
    </r>
  </si>
  <si>
    <t>CHEMICAL COMPOSITION (MAJOR IONS)</t>
  </si>
  <si>
    <r>
      <rPr>
        <b/>
        <sz val="9"/>
        <color theme="1"/>
        <rFont val="Symbol"/>
        <family val="1"/>
        <charset val="2"/>
      </rPr>
      <t>l</t>
    </r>
    <r>
      <rPr>
        <b/>
        <sz val="10"/>
        <color theme="1"/>
        <rFont val="Calibri"/>
        <family val="2"/>
        <scheme val="minor"/>
      </rPr>
      <t>Na</t>
    </r>
  </si>
  <si>
    <r>
      <rPr>
        <b/>
        <sz val="9"/>
        <color theme="1"/>
        <rFont val="Symbol"/>
        <family val="1"/>
        <charset val="2"/>
      </rPr>
      <t>l</t>
    </r>
    <r>
      <rPr>
        <b/>
        <sz val="10"/>
        <color theme="1"/>
        <rFont val="Calibri"/>
        <family val="2"/>
        <scheme val="minor"/>
      </rPr>
      <t>Mg</t>
    </r>
  </si>
  <si>
    <r>
      <rPr>
        <b/>
        <sz val="9"/>
        <color theme="1"/>
        <rFont val="Symbol"/>
        <family val="1"/>
        <charset val="2"/>
      </rPr>
      <t>l</t>
    </r>
    <r>
      <rPr>
        <b/>
        <sz val="10"/>
        <color theme="1"/>
        <rFont val="Calibri"/>
        <family val="2"/>
        <scheme val="minor"/>
      </rPr>
      <t>Ca</t>
    </r>
  </si>
  <si>
    <r>
      <rPr>
        <b/>
        <sz val="9"/>
        <color theme="1"/>
        <rFont val="Symbol"/>
        <family val="1"/>
        <charset val="2"/>
      </rPr>
      <t>l</t>
    </r>
    <r>
      <rPr>
        <b/>
        <sz val="10"/>
        <color theme="1"/>
        <rFont val="Calibri"/>
        <family val="2"/>
        <scheme val="minor"/>
      </rPr>
      <t>F</t>
    </r>
  </si>
  <si>
    <r>
      <rPr>
        <b/>
        <sz val="9"/>
        <color theme="1"/>
        <rFont val="Symbol"/>
        <family val="1"/>
        <charset val="2"/>
      </rPr>
      <t>l</t>
    </r>
    <r>
      <rPr>
        <b/>
        <sz val="10"/>
        <color theme="1"/>
        <rFont val="Calibri"/>
        <family val="2"/>
        <scheme val="minor"/>
      </rPr>
      <t>Cl</t>
    </r>
  </si>
  <si>
    <r>
      <rPr>
        <b/>
        <sz val="9"/>
        <color theme="1"/>
        <rFont val="Symbol"/>
        <family val="1"/>
        <charset val="2"/>
      </rPr>
      <t>l</t>
    </r>
    <r>
      <rPr>
        <b/>
        <sz val="10"/>
        <color theme="1"/>
        <rFont val="Calibri"/>
        <family val="2"/>
        <scheme val="minor"/>
      </rPr>
      <t>NO3</t>
    </r>
  </si>
  <si>
    <r>
      <rPr>
        <b/>
        <sz val="9"/>
        <color theme="1"/>
        <rFont val="Symbol"/>
        <family val="1"/>
        <charset val="2"/>
      </rPr>
      <t>l</t>
    </r>
    <r>
      <rPr>
        <b/>
        <sz val="10"/>
        <color theme="1"/>
        <rFont val="Calibri"/>
        <family val="2"/>
        <scheme val="minor"/>
      </rPr>
      <t>SO4</t>
    </r>
  </si>
  <si>
    <r>
      <rPr>
        <b/>
        <sz val="9"/>
        <color theme="1"/>
        <rFont val="Symbol"/>
        <family val="1"/>
        <charset val="2"/>
      </rPr>
      <t>l</t>
    </r>
    <r>
      <rPr>
        <b/>
        <sz val="10"/>
        <color theme="1"/>
        <rFont val="Calibri"/>
        <family val="2"/>
        <scheme val="minor"/>
      </rPr>
      <t>K</t>
    </r>
  </si>
  <si>
    <r>
      <rPr>
        <b/>
        <sz val="9"/>
        <color theme="1"/>
        <rFont val="Symbol"/>
        <family val="1"/>
        <charset val="2"/>
      </rPr>
      <t>l</t>
    </r>
    <r>
      <rPr>
        <b/>
        <sz val="10"/>
        <color theme="1"/>
        <rFont val="Calibri"/>
        <family val="2"/>
        <scheme val="minor"/>
      </rPr>
      <t>NH4</t>
    </r>
  </si>
  <si>
    <r>
      <rPr>
        <b/>
        <sz val="9"/>
        <color theme="1"/>
        <rFont val="Symbol"/>
        <family val="1"/>
        <charset val="2"/>
      </rPr>
      <t>l</t>
    </r>
    <r>
      <rPr>
        <b/>
        <sz val="10"/>
        <color theme="1"/>
        <rFont val="Calibri"/>
        <family val="2"/>
        <scheme val="minor"/>
      </rPr>
      <t>HCO3</t>
    </r>
  </si>
  <si>
    <r>
      <rPr>
        <b/>
        <sz val="9"/>
        <color theme="1"/>
        <rFont val="Symbol"/>
        <family val="1"/>
        <charset val="2"/>
      </rPr>
      <t>l</t>
    </r>
    <r>
      <rPr>
        <b/>
        <sz val="10"/>
        <color theme="1"/>
        <rFont val="Calibri"/>
        <family val="2"/>
        <scheme val="minor"/>
      </rPr>
      <t>CO3</t>
    </r>
  </si>
  <si>
    <t>A</t>
  </si>
  <si>
    <t>B</t>
  </si>
  <si>
    <t>T (°C)</t>
  </si>
  <si>
    <t>Ion parameters (McCelsky et al., 2012)</t>
  </si>
  <si>
    <t>SC</t>
  </si>
  <si>
    <t>log(X)</t>
  </si>
  <si>
    <r>
      <t>I</t>
    </r>
    <r>
      <rPr>
        <vertAlign val="subscript"/>
        <sz val="11"/>
        <color theme="1"/>
        <rFont val="Calibri"/>
        <family val="2"/>
        <scheme val="minor"/>
      </rPr>
      <t>S</t>
    </r>
  </si>
  <si>
    <r>
      <t>Ca</t>
    </r>
    <r>
      <rPr>
        <vertAlign val="subscript"/>
        <sz val="11"/>
        <color theme="1"/>
        <rFont val="Calibri"/>
        <family val="2"/>
        <scheme val="minor"/>
      </rPr>
      <t>eq</t>
    </r>
  </si>
  <si>
    <t xml:space="preserve">TDS/EC </t>
  </si>
  <si>
    <t>CHARACTERISATION (HUIZENGA 2011)</t>
  </si>
  <si>
    <r>
      <rPr>
        <sz val="10"/>
        <color theme="1"/>
        <rFont val="SymbolPS"/>
        <family val="1"/>
        <charset val="2"/>
      </rPr>
      <t>S</t>
    </r>
    <r>
      <rPr>
        <i/>
        <sz val="11"/>
        <color theme="1"/>
        <rFont val="Times New Roman"/>
        <family val="1"/>
      </rPr>
      <t>z</t>
    </r>
    <r>
      <rPr>
        <vertAlign val="superscript"/>
        <sz val="11"/>
        <color theme="1"/>
        <rFont val="Calibri"/>
        <family val="2"/>
        <scheme val="minor"/>
      </rPr>
      <t>+</t>
    </r>
  </si>
  <si>
    <r>
      <rPr>
        <sz val="10"/>
        <color theme="1"/>
        <rFont val="Symbol"/>
        <family val="1"/>
        <charset val="2"/>
      </rPr>
      <t>S</t>
    </r>
    <r>
      <rPr>
        <i/>
        <sz val="11"/>
        <color theme="1"/>
        <rFont val="Times New Roman"/>
        <family val="1"/>
      </rPr>
      <t>z</t>
    </r>
    <r>
      <rPr>
        <vertAlign val="superscript"/>
        <sz val="11"/>
        <color theme="1"/>
        <rFont val="SymbolPS"/>
        <family val="1"/>
        <charset val="2"/>
      </rPr>
      <t>-</t>
    </r>
  </si>
  <si>
    <r>
      <t>(mg/L)/(</t>
    </r>
    <r>
      <rPr>
        <sz val="9"/>
        <color theme="1"/>
        <rFont val="Symbol"/>
        <family val="1"/>
        <charset val="2"/>
      </rPr>
      <t>m</t>
    </r>
    <r>
      <rPr>
        <sz val="9"/>
        <color theme="1"/>
        <rFont val="Calibri"/>
        <family val="2"/>
        <scheme val="minor"/>
      </rPr>
      <t>S/cm)</t>
    </r>
  </si>
  <si>
    <t>Values for the variables indicated in red need to be inserted by the user</t>
  </si>
  <si>
    <t>TDS (calc.)</t>
  </si>
  <si>
    <r>
      <rPr>
        <sz val="11"/>
        <color theme="1"/>
        <rFont val="Symbol"/>
        <family val="1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EC</t>
    </r>
  </si>
  <si>
    <r>
      <rPr>
        <sz val="11"/>
        <color theme="1"/>
        <rFont val="Symbol"/>
        <family val="1"/>
        <charset val="2"/>
      </rPr>
      <t>d</t>
    </r>
    <r>
      <rPr>
        <vertAlign val="subscript"/>
        <sz val="12"/>
        <color theme="1"/>
        <rFont val="Calibri"/>
        <family val="2"/>
        <scheme val="minor"/>
      </rPr>
      <t>TDS</t>
    </r>
  </si>
  <si>
    <t>Adj. SAR
parameters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</si>
</sst>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0"/>
    <numFmt numFmtId="167" formatCode="0.000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Symbol"/>
      <family val="1"/>
      <charset val="2"/>
    </font>
    <font>
      <b/>
      <vertAlign val="superscript"/>
      <sz val="10"/>
      <color theme="1"/>
      <name val="Symbol"/>
      <family val="1"/>
      <charset val="2"/>
    </font>
    <font>
      <b/>
      <vertAlign val="superscript"/>
      <sz val="10"/>
      <color theme="1"/>
      <name val="Calibri"/>
      <family val="2"/>
      <scheme val="minor"/>
    </font>
    <font>
      <sz val="10"/>
      <color theme="1"/>
      <name val="SymbolPS"/>
      <family val="1"/>
      <charset val="2"/>
    </font>
    <font>
      <sz val="10"/>
      <color theme="1"/>
      <name val="Symbol"/>
      <family val="1"/>
      <charset val="2"/>
    </font>
    <font>
      <b/>
      <sz val="11"/>
      <color theme="1"/>
      <name val="Symbol"/>
      <family val="1"/>
      <charset val="2"/>
    </font>
    <font>
      <b/>
      <vertAlign val="superscript"/>
      <sz val="11"/>
      <color theme="1"/>
      <name val="Symbol"/>
      <family val="1"/>
      <charset val="2"/>
    </font>
    <font>
      <b/>
      <i/>
      <sz val="11"/>
      <color theme="1"/>
      <name val="Times New Roman"/>
      <family val="1"/>
    </font>
    <font>
      <b/>
      <vertAlign val="subscript"/>
      <sz val="11"/>
      <color theme="1"/>
      <name val="Calibri"/>
      <family val="2"/>
      <scheme val="minor"/>
    </font>
    <font>
      <b/>
      <sz val="10"/>
      <color theme="1"/>
      <name val="Symbol"/>
      <family val="1"/>
      <charset val="2"/>
    </font>
    <font>
      <b/>
      <sz val="10"/>
      <color theme="1"/>
      <name val="Calibri"/>
      <family val="2"/>
      <scheme val="minor"/>
    </font>
    <font>
      <b/>
      <sz val="9"/>
      <color theme="1"/>
      <name val="Symbol"/>
      <family val="1"/>
      <charset val="2"/>
    </font>
    <font>
      <b/>
      <vertAlign val="subscript"/>
      <sz val="1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0"/>
      <color rgb="FFBC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1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SymbolPS"/>
      <family val="1"/>
      <charset val="2"/>
    </font>
    <font>
      <vertAlign val="subscript"/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6161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E0A3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DD749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3">
    <xf numFmtId="0" fontId="0" fillId="0" borderId="0" xfId="0"/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31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/>
    <xf numFmtId="0" fontId="26" fillId="0" borderId="0" xfId="0" applyFont="1" applyFill="1" applyAlignment="1">
      <alignment horizontal="right" vertical="center"/>
    </xf>
    <xf numFmtId="0" fontId="28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 vertical="center"/>
    </xf>
    <xf numFmtId="2" fontId="20" fillId="0" borderId="0" xfId="0" applyNumberFormat="1" applyFont="1" applyFill="1"/>
    <xf numFmtId="165" fontId="20" fillId="0" borderId="0" xfId="0" applyNumberFormat="1" applyFont="1" applyFill="1"/>
    <xf numFmtId="0" fontId="0" fillId="34" borderId="0" xfId="0" applyFill="1"/>
    <xf numFmtId="1" fontId="18" fillId="34" borderId="0" xfId="0" applyNumberFormat="1" applyFont="1" applyFill="1" applyAlignment="1">
      <alignment horizontal="right" vertical="center"/>
    </xf>
    <xf numFmtId="0" fontId="18" fillId="34" borderId="0" xfId="0" applyFont="1" applyFill="1" applyAlignment="1">
      <alignment horizontal="right" vertical="center"/>
    </xf>
    <xf numFmtId="1" fontId="20" fillId="34" borderId="0" xfId="0" applyNumberFormat="1" applyFont="1" applyFill="1" applyAlignment="1" applyProtection="1">
      <alignment vertical="center"/>
      <protection locked="0"/>
    </xf>
    <xf numFmtId="14" fontId="20" fillId="34" borderId="0" xfId="0" applyNumberFormat="1" applyFont="1" applyFill="1" applyAlignment="1" applyProtection="1">
      <alignment vertical="center"/>
      <protection locked="0"/>
    </xf>
    <xf numFmtId="0" fontId="20" fillId="35" borderId="0" xfId="0" applyFont="1" applyFill="1" applyAlignment="1">
      <alignment horizontal="center" vertical="center"/>
    </xf>
    <xf numFmtId="0" fontId="20" fillId="35" borderId="0" xfId="0" applyFont="1" applyFill="1" applyAlignment="1">
      <alignment horizontal="right" vertical="center"/>
    </xf>
    <xf numFmtId="165" fontId="20" fillId="35" borderId="0" xfId="0" applyNumberFormat="1" applyFont="1" applyFill="1" applyAlignment="1">
      <alignment horizontal="right" vertical="center"/>
    </xf>
    <xf numFmtId="165" fontId="35" fillId="35" borderId="0" xfId="0" applyNumberFormat="1" applyFont="1" applyFill="1" applyAlignment="1">
      <alignment horizontal="right" vertical="center"/>
    </xf>
    <xf numFmtId="165" fontId="18" fillId="35" borderId="0" xfId="0" applyNumberFormat="1" applyFont="1" applyFill="1" applyAlignment="1">
      <alignment horizontal="right" vertical="center"/>
    </xf>
    <xf numFmtId="1" fontId="20" fillId="35" borderId="0" xfId="0" applyNumberFormat="1" applyFont="1" applyFill="1" applyAlignment="1">
      <alignment vertical="center"/>
    </xf>
    <xf numFmtId="165" fontId="20" fillId="35" borderId="0" xfId="0" applyNumberFormat="1" applyFont="1" applyFill="1" applyAlignment="1" applyProtection="1">
      <alignment vertical="center"/>
      <protection locked="0"/>
    </xf>
    <xf numFmtId="0" fontId="0" fillId="35" borderId="0" xfId="0" applyFill="1"/>
    <xf numFmtId="165" fontId="20" fillId="36" borderId="0" xfId="0" applyNumberFormat="1" applyFont="1" applyFill="1" applyAlignment="1">
      <alignment horizontal="center" vertical="center"/>
    </xf>
    <xf numFmtId="1" fontId="20" fillId="36" borderId="0" xfId="0" applyNumberFormat="1" applyFont="1" applyFill="1" applyAlignment="1">
      <alignment horizontal="center" vertical="center"/>
    </xf>
    <xf numFmtId="2" fontId="20" fillId="36" borderId="0" xfId="0" applyNumberFormat="1" applyFont="1" applyFill="1" applyAlignment="1">
      <alignment horizontal="center" vertical="center"/>
    </xf>
    <xf numFmtId="164" fontId="20" fillId="36" borderId="0" xfId="0" applyNumberFormat="1" applyFont="1" applyFill="1" applyAlignment="1">
      <alignment horizontal="center" vertical="center"/>
    </xf>
    <xf numFmtId="165" fontId="35" fillId="36" borderId="0" xfId="0" applyNumberFormat="1" applyFont="1" applyFill="1" applyAlignment="1">
      <alignment horizontal="right" vertical="center"/>
    </xf>
    <xf numFmtId="1" fontId="35" fillId="36" borderId="0" xfId="0" applyNumberFormat="1" applyFont="1" applyFill="1" applyAlignment="1">
      <alignment horizontal="right" vertical="center"/>
    </xf>
    <xf numFmtId="2" fontId="35" fillId="36" borderId="0" xfId="0" applyNumberFormat="1" applyFont="1" applyFill="1" applyAlignment="1">
      <alignment horizontal="right" vertical="center"/>
    </xf>
    <xf numFmtId="164" fontId="35" fillId="36" borderId="0" xfId="0" applyNumberFormat="1" applyFont="1" applyFill="1" applyAlignment="1">
      <alignment horizontal="right" vertical="center"/>
    </xf>
    <xf numFmtId="165" fontId="20" fillId="36" borderId="0" xfId="0" applyNumberFormat="1" applyFont="1" applyFill="1" applyAlignment="1" applyProtection="1">
      <alignment vertical="center"/>
      <protection locked="0"/>
    </xf>
    <xf numFmtId="1" fontId="20" fillId="36" borderId="0" xfId="0" applyNumberFormat="1" applyFont="1" applyFill="1" applyAlignment="1" applyProtection="1">
      <alignment vertical="center"/>
      <protection locked="0"/>
    </xf>
    <xf numFmtId="2" fontId="20" fillId="36" borderId="0" xfId="0" applyNumberFormat="1" applyFont="1" applyFill="1" applyAlignment="1" applyProtection="1">
      <alignment vertical="center"/>
      <protection locked="0"/>
    </xf>
    <xf numFmtId="164" fontId="20" fillId="36" borderId="0" xfId="0" applyNumberFormat="1" applyFont="1" applyFill="1" applyAlignment="1" applyProtection="1">
      <alignment vertical="center"/>
      <protection locked="0"/>
    </xf>
    <xf numFmtId="0" fontId="0" fillId="36" borderId="0" xfId="0" applyFill="1"/>
    <xf numFmtId="0" fontId="0" fillId="37" borderId="0" xfId="0" applyFill="1"/>
    <xf numFmtId="0" fontId="20" fillId="37" borderId="0" xfId="0" applyFont="1" applyFill="1" applyAlignment="1">
      <alignment horizontal="center" vertical="center" wrapText="1"/>
    </xf>
    <xf numFmtId="2" fontId="18" fillId="37" borderId="0" xfId="0" applyNumberFormat="1" applyFont="1" applyFill="1" applyAlignment="1">
      <alignment horizontal="right" vertical="center"/>
    </xf>
    <xf numFmtId="1" fontId="20" fillId="37" borderId="0" xfId="0" applyNumberFormat="1" applyFont="1" applyFill="1" applyAlignment="1">
      <alignment vertical="center"/>
    </xf>
    <xf numFmtId="2" fontId="20" fillId="37" borderId="0" xfId="0" applyNumberFormat="1" applyFont="1" applyFill="1" applyAlignment="1">
      <alignment vertical="center"/>
    </xf>
    <xf numFmtId="0" fontId="0" fillId="38" borderId="0" xfId="0" applyFill="1"/>
    <xf numFmtId="0" fontId="20" fillId="38" borderId="0" xfId="0" applyFont="1" applyFill="1" applyAlignment="1">
      <alignment horizontal="center" vertical="center"/>
    </xf>
    <xf numFmtId="2" fontId="18" fillId="38" borderId="0" xfId="0" applyNumberFormat="1" applyFont="1" applyFill="1" applyAlignment="1">
      <alignment horizontal="right" vertical="center"/>
    </xf>
    <xf numFmtId="2" fontId="37" fillId="38" borderId="0" xfId="0" applyNumberFormat="1" applyFont="1" applyFill="1" applyAlignment="1">
      <alignment horizontal="right" vertical="center"/>
    </xf>
    <xf numFmtId="2" fontId="20" fillId="38" borderId="0" xfId="0" applyNumberFormat="1" applyFont="1" applyFill="1" applyAlignment="1">
      <alignment vertical="center"/>
    </xf>
    <xf numFmtId="2" fontId="20" fillId="38" borderId="0" xfId="0" applyNumberFormat="1" applyFont="1" applyFill="1" applyAlignment="1">
      <alignment horizontal="center" vertical="center"/>
    </xf>
    <xf numFmtId="0" fontId="0" fillId="39" borderId="0" xfId="0" applyFill="1"/>
    <xf numFmtId="166" fontId="20" fillId="39" borderId="0" xfId="0" applyNumberFormat="1" applyFont="1" applyFill="1" applyAlignment="1">
      <alignment horizontal="center" vertical="center"/>
    </xf>
    <xf numFmtId="167" fontId="20" fillId="39" borderId="0" xfId="0" applyNumberFormat="1" applyFont="1" applyFill="1" applyAlignment="1">
      <alignment horizontal="center" vertical="center"/>
    </xf>
    <xf numFmtId="0" fontId="20" fillId="39" borderId="0" xfId="0" applyFont="1" applyFill="1" applyAlignment="1">
      <alignment horizontal="center" vertical="center"/>
    </xf>
    <xf numFmtId="166" fontId="18" fillId="39" borderId="0" xfId="0" applyNumberFormat="1" applyFont="1" applyFill="1" applyAlignment="1">
      <alignment horizontal="right" vertical="center"/>
    </xf>
    <xf numFmtId="167" fontId="18" fillId="39" borderId="0" xfId="0" applyNumberFormat="1" applyFont="1" applyFill="1" applyAlignment="1">
      <alignment horizontal="right" vertical="center"/>
    </xf>
    <xf numFmtId="2" fontId="18" fillId="39" borderId="0" xfId="0" applyNumberFormat="1" applyFont="1" applyFill="1" applyAlignment="1">
      <alignment horizontal="right" vertical="center"/>
    </xf>
    <xf numFmtId="166" fontId="20" fillId="39" borderId="0" xfId="0" applyNumberFormat="1" applyFont="1" applyFill="1" applyAlignment="1">
      <alignment horizontal="right" vertical="center"/>
    </xf>
    <xf numFmtId="167" fontId="20" fillId="39" borderId="0" xfId="0" applyNumberFormat="1" applyFont="1" applyFill="1" applyAlignment="1">
      <alignment horizontal="right" vertical="center"/>
    </xf>
    <xf numFmtId="166" fontId="20" fillId="39" borderId="0" xfId="0" applyNumberFormat="1" applyFont="1" applyFill="1" applyAlignment="1">
      <alignment vertical="center"/>
    </xf>
    <xf numFmtId="0" fontId="18" fillId="37" borderId="0" xfId="0" applyFont="1" applyFill="1" applyAlignment="1">
      <alignment horizontal="center" vertical="center"/>
    </xf>
    <xf numFmtId="167" fontId="20" fillId="37" borderId="0" xfId="0" applyNumberFormat="1" applyFont="1" applyFill="1" applyAlignment="1">
      <alignment vertical="center"/>
    </xf>
    <xf numFmtId="0" fontId="0" fillId="40" borderId="0" xfId="0" applyFill="1"/>
    <xf numFmtId="0" fontId="18" fillId="40" borderId="0" xfId="0" applyFont="1" applyFill="1" applyAlignment="1">
      <alignment horizontal="right" vertical="center"/>
    </xf>
    <xf numFmtId="165" fontId="20" fillId="40" borderId="0" xfId="0" applyNumberFormat="1" applyFont="1" applyFill="1" applyAlignment="1">
      <alignment vertical="center"/>
    </xf>
    <xf numFmtId="0" fontId="0" fillId="41" borderId="0" xfId="0" applyFill="1"/>
    <xf numFmtId="2" fontId="18" fillId="41" borderId="0" xfId="0" applyNumberFormat="1" applyFont="1" applyFill="1" applyAlignment="1">
      <alignment horizontal="center" vertical="center"/>
    </xf>
    <xf numFmtId="2" fontId="20" fillId="41" borderId="0" xfId="0" applyNumberFormat="1" applyFont="1" applyFill="1" applyAlignment="1">
      <alignment vertical="center"/>
    </xf>
    <xf numFmtId="165" fontId="35" fillId="35" borderId="0" xfId="0" applyNumberFormat="1" applyFont="1" applyFill="1" applyAlignment="1" applyProtection="1">
      <alignment vertical="center"/>
      <protection locked="0"/>
    </xf>
    <xf numFmtId="165" fontId="35" fillId="36" borderId="0" xfId="0" applyNumberFormat="1" applyFont="1" applyFill="1" applyAlignment="1" applyProtection="1">
      <alignment vertical="center"/>
      <protection locked="0"/>
    </xf>
    <xf numFmtId="1" fontId="35" fillId="36" borderId="0" xfId="0" applyNumberFormat="1" applyFont="1" applyFill="1" applyAlignment="1" applyProtection="1">
      <alignment vertical="center"/>
      <protection locked="0"/>
    </xf>
    <xf numFmtId="2" fontId="35" fillId="36" borderId="0" xfId="0" applyNumberFormat="1" applyFont="1" applyFill="1" applyAlignment="1" applyProtection="1">
      <alignment vertical="center"/>
      <protection locked="0"/>
    </xf>
    <xf numFmtId="164" fontId="35" fillId="36" borderId="0" xfId="0" applyNumberFormat="1" applyFont="1" applyFill="1" applyAlignment="1" applyProtection="1">
      <alignment vertical="center"/>
      <protection locked="0"/>
    </xf>
    <xf numFmtId="0" fontId="0" fillId="42" borderId="0" xfId="0" applyFill="1"/>
    <xf numFmtId="0" fontId="31" fillId="42" borderId="0" xfId="0" applyFont="1" applyFill="1" applyAlignment="1">
      <alignment horizontal="center" vertical="center"/>
    </xf>
    <xf numFmtId="0" fontId="0" fillId="42" borderId="0" xfId="0" applyFill="1" applyAlignment="1">
      <alignment vertical="center"/>
    </xf>
    <xf numFmtId="0" fontId="0" fillId="42" borderId="0" xfId="0" applyFill="1" applyAlignment="1">
      <alignment horizontal="center" vertical="center"/>
    </xf>
    <xf numFmtId="165" fontId="20" fillId="42" borderId="0" xfId="0" applyNumberFormat="1" applyFont="1" applyFill="1" applyAlignment="1">
      <alignment vertical="center"/>
    </xf>
    <xf numFmtId="2" fontId="20" fillId="42" borderId="0" xfId="0" applyNumberFormat="1" applyFont="1" applyFill="1" applyAlignment="1">
      <alignment vertical="center"/>
    </xf>
    <xf numFmtId="166" fontId="20" fillId="42" borderId="0" xfId="0" applyNumberFormat="1" applyFont="1" applyFill="1" applyAlignment="1">
      <alignment vertical="center"/>
    </xf>
    <xf numFmtId="0" fontId="31" fillId="42" borderId="0" xfId="0" applyFont="1" applyFill="1" applyAlignment="1">
      <alignment horizontal="center" vertical="center"/>
    </xf>
    <xf numFmtId="0" fontId="0" fillId="0" borderId="0" xfId="0" applyAlignment="1"/>
    <xf numFmtId="0" fontId="31" fillId="42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34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  <xf numFmtId="0" fontId="0" fillId="35" borderId="0" xfId="0" applyFill="1" applyAlignment="1">
      <alignment horizontal="center" vertical="center" wrapText="1"/>
    </xf>
    <xf numFmtId="165" fontId="19" fillId="36" borderId="0" xfId="0" applyNumberFormat="1" applyFont="1" applyFill="1" applyAlignment="1">
      <alignment horizontal="center" vertical="center" wrapText="1"/>
    </xf>
    <xf numFmtId="0" fontId="16" fillId="36" borderId="0" xfId="0" applyFont="1" applyFill="1" applyAlignment="1">
      <alignment horizontal="center" vertical="center" wrapText="1"/>
    </xf>
    <xf numFmtId="0" fontId="19" fillId="38" borderId="0" xfId="0" applyFont="1" applyFill="1" applyAlignment="1">
      <alignment horizontal="center" vertical="center"/>
    </xf>
    <xf numFmtId="0" fontId="31" fillId="39" borderId="0" xfId="0" applyFont="1" applyFill="1" applyAlignment="1">
      <alignment horizontal="center" vertical="center"/>
    </xf>
    <xf numFmtId="0" fontId="19" fillId="37" borderId="0" xfId="0" applyFont="1" applyFill="1" applyAlignment="1">
      <alignment horizontal="center" vertical="center" wrapText="1"/>
    </xf>
    <xf numFmtId="0" fontId="36" fillId="33" borderId="10" xfId="0" applyFont="1" applyFill="1" applyBorder="1" applyAlignment="1">
      <alignment horizontal="center" vertical="center"/>
    </xf>
    <xf numFmtId="0" fontId="36" fillId="33" borderId="11" xfId="0" applyFont="1" applyFill="1" applyBorder="1" applyAlignment="1">
      <alignment horizontal="center" vertical="center"/>
    </xf>
    <xf numFmtId="0" fontId="36" fillId="33" borderId="12" xfId="0" applyFont="1" applyFill="1" applyBorder="1" applyAlignment="1">
      <alignment horizontal="center" vertical="center"/>
    </xf>
    <xf numFmtId="0" fontId="31" fillId="37" borderId="0" xfId="0" applyFont="1" applyFill="1" applyAlignment="1">
      <alignment horizontal="center" vertical="center" wrapText="1"/>
    </xf>
    <xf numFmtId="0" fontId="31" fillId="40" borderId="0" xfId="0" applyFont="1" applyFill="1" applyAlignment="1">
      <alignment horizontal="center" vertical="center" wrapText="1"/>
    </xf>
    <xf numFmtId="0" fontId="31" fillId="41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3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6" fillId="0" borderId="0" xfId="0" applyFont="1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ndense val="0"/>
        <extend val="0"/>
        <color rgb="FF9C0006"/>
      </font>
    </dxf>
  </dxfs>
  <tableStyles count="0" defaultTableStyle="TableStyleMedium9" defaultPivotStyle="PivotStyleLight16"/>
  <colors>
    <mruColors>
      <color rgb="FFBC0000"/>
      <color rgb="FFFF6161"/>
      <color rgb="FFFFE0A3"/>
      <color rgb="FFCDD749"/>
      <color rgb="FF007635"/>
      <color rgb="FFE4E41C"/>
      <color rgb="FFFFFFFF"/>
      <color rgb="FFB6F32D"/>
      <color rgb="FFFFCC99"/>
      <color rgb="FFFFCC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26"/>
  <sheetViews>
    <sheetView tabSelected="1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E9" sqref="E9:F9"/>
    </sheetView>
  </sheetViews>
  <sheetFormatPr defaultRowHeight="15"/>
  <cols>
    <col min="1" max="1" width="9.42578125" style="11" bestFit="1" customWidth="1"/>
    <col min="2" max="2" width="9.28515625" style="11" bestFit="1" customWidth="1"/>
    <col min="3" max="3" width="4.7109375" style="11" bestFit="1" customWidth="1"/>
    <col min="4" max="4" width="5.42578125" style="23" bestFit="1" customWidth="1"/>
    <col min="5" max="5" width="5.7109375" style="23" bestFit="1" customWidth="1"/>
    <col min="6" max="6" width="8.140625" style="23" bestFit="1" customWidth="1"/>
    <col min="7" max="7" width="4.5703125" style="23" bestFit="1" customWidth="1"/>
    <col min="8" max="8" width="3.42578125" style="36" bestFit="1" customWidth="1"/>
    <col min="9" max="14" width="4.85546875" style="36" bestFit="1" customWidth="1"/>
    <col min="15" max="15" width="8.85546875" style="36" bestFit="1" customWidth="1"/>
    <col min="16" max="16" width="4.85546875" style="36" bestFit="1" customWidth="1"/>
    <col min="17" max="17" width="5.42578125" style="36" bestFit="1" customWidth="1"/>
    <col min="18" max="18" width="10" style="36" bestFit="1" customWidth="1"/>
    <col min="19" max="20" width="4.85546875" style="36" bestFit="1" customWidth="1"/>
    <col min="21" max="21" width="5.42578125" style="36" bestFit="1" customWidth="1"/>
    <col min="22" max="22" width="9.140625" style="37" bestFit="1" customWidth="1"/>
    <col min="23" max="23" width="5.42578125" style="37" bestFit="1" customWidth="1"/>
    <col min="24" max="24" width="12.42578125" style="37" bestFit="1" customWidth="1"/>
    <col min="25" max="26" width="5.85546875" style="42" bestFit="1" customWidth="1"/>
    <col min="27" max="27" width="13.28515625" style="42" bestFit="1" customWidth="1"/>
    <col min="28" max="41" width="6.85546875" style="48" bestFit="1" customWidth="1"/>
    <col min="42" max="42" width="9.140625" style="37"/>
    <col min="43" max="43" width="12.85546875" style="60" bestFit="1" customWidth="1"/>
    <col min="44" max="44" width="6.28515625" style="60" bestFit="1" customWidth="1"/>
    <col min="45" max="45" width="4" style="60" bestFit="1" customWidth="1"/>
    <col min="46" max="46" width="4" style="63" bestFit="1" customWidth="1"/>
    <col min="47" max="47" width="7.28515625" style="63" bestFit="1" customWidth="1"/>
    <col min="48" max="48" width="9.140625" customWidth="1"/>
    <col min="49" max="49" width="4.140625" style="71" hidden="1" customWidth="1"/>
    <col min="50" max="50" width="4.42578125" style="71" hidden="1" customWidth="1"/>
    <col min="51" max="53" width="4" style="71" hidden="1" customWidth="1"/>
    <col min="54" max="54" width="5.5703125" style="71" hidden="1" customWidth="1"/>
    <col min="55" max="55" width="5.140625" style="71" hidden="1" customWidth="1"/>
    <col min="56" max="56" width="4" style="71" hidden="1" customWidth="1"/>
    <col min="57" max="57" width="5.42578125" style="71" hidden="1" customWidth="1"/>
    <col min="58" max="58" width="6.42578125" style="71" hidden="1" customWidth="1"/>
    <col min="59" max="59" width="5.28515625" style="71" hidden="1" customWidth="1"/>
    <col min="60" max="60" width="9.140625" style="71" hidden="1" customWidth="1"/>
    <col min="61" max="61" width="4" style="71" hidden="1" customWidth="1"/>
    <col min="62" max="62" width="5.7109375" style="71" hidden="1" customWidth="1"/>
    <col min="63" max="63" width="6.28515625" style="71" hidden="1" customWidth="1"/>
    <col min="64" max="64" width="4.5703125" style="71" hidden="1" customWidth="1"/>
  </cols>
  <sheetData>
    <row r="1" spans="1:64" ht="24.95" customHeight="1">
      <c r="D1" s="90" t="s">
        <v>88</v>
      </c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2"/>
      <c r="AW1" s="78" t="s">
        <v>62</v>
      </c>
      <c r="AX1" s="79"/>
      <c r="AY1" s="79"/>
      <c r="AZ1" s="79"/>
      <c r="BA1" s="79"/>
      <c r="BB1" s="79"/>
      <c r="BC1" s="79"/>
      <c r="BD1" s="79"/>
      <c r="BE1" s="79"/>
      <c r="BF1" s="79"/>
      <c r="BG1" s="79"/>
      <c r="BI1" s="80" t="s">
        <v>92</v>
      </c>
      <c r="BJ1" s="81"/>
      <c r="BK1" s="81"/>
      <c r="BL1" s="81"/>
    </row>
    <row r="2" spans="1:64" ht="30" customHeight="1">
      <c r="A2" s="82" t="s">
        <v>39</v>
      </c>
      <c r="B2" s="82"/>
      <c r="C2" s="82"/>
      <c r="D2" s="83" t="s">
        <v>43</v>
      </c>
      <c r="E2" s="83"/>
      <c r="F2" s="84"/>
      <c r="G2" s="84"/>
      <c r="H2" s="85" t="s">
        <v>63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9"/>
      <c r="W2" s="89"/>
      <c r="X2" s="89"/>
      <c r="Y2" s="87" t="s">
        <v>37</v>
      </c>
      <c r="Z2" s="87"/>
      <c r="AA2" s="87"/>
      <c r="AB2" s="88" t="s">
        <v>61</v>
      </c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93" t="s">
        <v>45</v>
      </c>
      <c r="AQ2" s="94" t="s">
        <v>84</v>
      </c>
      <c r="AR2" s="94"/>
      <c r="AS2" s="94"/>
      <c r="AT2" s="95" t="s">
        <v>50</v>
      </c>
      <c r="AU2" s="95"/>
      <c r="AV2" s="4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2"/>
      <c r="BI2" s="81"/>
      <c r="BJ2" s="81"/>
      <c r="BK2" s="81"/>
      <c r="BL2" s="81"/>
    </row>
    <row r="3" spans="1:64" ht="20.100000000000001" customHeight="1">
      <c r="A3" s="82"/>
      <c r="B3" s="82"/>
      <c r="C3" s="82"/>
      <c r="D3" s="16" t="s">
        <v>19</v>
      </c>
      <c r="E3" s="16" t="s">
        <v>38</v>
      </c>
      <c r="F3" s="17" t="s">
        <v>38</v>
      </c>
      <c r="G3" s="18" t="s">
        <v>23</v>
      </c>
      <c r="H3" s="24"/>
      <c r="I3" s="25" t="s">
        <v>20</v>
      </c>
      <c r="J3" s="24" t="s">
        <v>20</v>
      </c>
      <c r="K3" s="24" t="s">
        <v>20</v>
      </c>
      <c r="L3" s="24" t="s">
        <v>20</v>
      </c>
      <c r="M3" s="26" t="s">
        <v>20</v>
      </c>
      <c r="N3" s="24" t="s">
        <v>20</v>
      </c>
      <c r="O3" s="27" t="s">
        <v>20</v>
      </c>
      <c r="P3" s="24" t="s">
        <v>20</v>
      </c>
      <c r="Q3" s="27" t="s">
        <v>20</v>
      </c>
      <c r="R3" s="24" t="s">
        <v>21</v>
      </c>
      <c r="S3" s="26" t="s">
        <v>20</v>
      </c>
      <c r="T3" s="26" t="s">
        <v>20</v>
      </c>
      <c r="U3" s="27" t="s">
        <v>20</v>
      </c>
      <c r="V3" s="38" t="s">
        <v>20</v>
      </c>
      <c r="W3" s="38" t="s">
        <v>23</v>
      </c>
      <c r="X3" s="38" t="s">
        <v>87</v>
      </c>
      <c r="Y3" s="43" t="s">
        <v>22</v>
      </c>
      <c r="Z3" s="43" t="s">
        <v>22</v>
      </c>
      <c r="AA3" s="43" t="s">
        <v>23</v>
      </c>
      <c r="AB3" s="49" t="s">
        <v>36</v>
      </c>
      <c r="AC3" s="49" t="s">
        <v>36</v>
      </c>
      <c r="AD3" s="49" t="s">
        <v>36</v>
      </c>
      <c r="AE3" s="49" t="s">
        <v>36</v>
      </c>
      <c r="AF3" s="49" t="s">
        <v>36</v>
      </c>
      <c r="AG3" s="49" t="s">
        <v>36</v>
      </c>
      <c r="AH3" s="49" t="s">
        <v>36</v>
      </c>
      <c r="AI3" s="50" t="s">
        <v>36</v>
      </c>
      <c r="AJ3" s="49" t="s">
        <v>36</v>
      </c>
      <c r="AK3" s="49" t="s">
        <v>36</v>
      </c>
      <c r="AL3" s="49" t="s">
        <v>36</v>
      </c>
      <c r="AM3" s="51" t="s">
        <v>36</v>
      </c>
      <c r="AN3" s="51" t="s">
        <v>36</v>
      </c>
      <c r="AO3" s="51" t="s">
        <v>36</v>
      </c>
      <c r="AP3" s="93"/>
      <c r="AQ3" s="94"/>
      <c r="AR3" s="94"/>
      <c r="AS3" s="94"/>
      <c r="AT3" s="95"/>
      <c r="AU3" s="95"/>
      <c r="AV3" s="1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3"/>
      <c r="BI3" s="81"/>
      <c r="BJ3" s="81"/>
      <c r="BK3" s="81"/>
      <c r="BL3" s="81"/>
    </row>
    <row r="4" spans="1:64" ht="20.100000000000001" customHeight="1">
      <c r="A4" s="12" t="s">
        <v>40</v>
      </c>
      <c r="B4" s="13" t="s">
        <v>41</v>
      </c>
      <c r="C4" s="12" t="s">
        <v>42</v>
      </c>
      <c r="D4" s="19" t="s">
        <v>0</v>
      </c>
      <c r="E4" s="20" t="s">
        <v>0</v>
      </c>
      <c r="F4" s="20" t="s">
        <v>57</v>
      </c>
      <c r="G4" s="20" t="s">
        <v>90</v>
      </c>
      <c r="H4" s="28" t="s">
        <v>2</v>
      </c>
      <c r="I4" s="29" t="s">
        <v>1</v>
      </c>
      <c r="J4" s="28" t="s">
        <v>3</v>
      </c>
      <c r="K4" s="28" t="s">
        <v>4</v>
      </c>
      <c r="L4" s="28" t="s">
        <v>5</v>
      </c>
      <c r="M4" s="30" t="s">
        <v>6</v>
      </c>
      <c r="N4" s="28" t="s">
        <v>7</v>
      </c>
      <c r="O4" s="31" t="s">
        <v>29</v>
      </c>
      <c r="P4" s="28" t="s">
        <v>8</v>
      </c>
      <c r="Q4" s="31" t="s">
        <v>9</v>
      </c>
      <c r="R4" s="28" t="s">
        <v>10</v>
      </c>
      <c r="S4" s="30" t="s">
        <v>11</v>
      </c>
      <c r="T4" s="30" t="s">
        <v>12</v>
      </c>
      <c r="U4" s="31" t="s">
        <v>13</v>
      </c>
      <c r="V4" s="39" t="s">
        <v>89</v>
      </c>
      <c r="W4" s="39" t="s">
        <v>91</v>
      </c>
      <c r="X4" s="39" t="s">
        <v>83</v>
      </c>
      <c r="Y4" s="44" t="s">
        <v>85</v>
      </c>
      <c r="Z4" s="45" t="s">
        <v>86</v>
      </c>
      <c r="AA4" s="44" t="s">
        <v>15</v>
      </c>
      <c r="AB4" s="52" t="s">
        <v>24</v>
      </c>
      <c r="AC4" s="52" t="s">
        <v>25</v>
      </c>
      <c r="AD4" s="52" t="s">
        <v>26</v>
      </c>
      <c r="AE4" s="52" t="s">
        <v>27</v>
      </c>
      <c r="AF4" s="52" t="s">
        <v>28</v>
      </c>
      <c r="AG4" s="52" t="s">
        <v>30</v>
      </c>
      <c r="AH4" s="52" t="s">
        <v>31</v>
      </c>
      <c r="AI4" s="53" t="s">
        <v>32</v>
      </c>
      <c r="AJ4" s="52" t="s">
        <v>33</v>
      </c>
      <c r="AK4" s="52" t="s">
        <v>34</v>
      </c>
      <c r="AL4" s="52" t="s">
        <v>35</v>
      </c>
      <c r="AM4" s="54" t="s">
        <v>16</v>
      </c>
      <c r="AN4" s="54" t="s">
        <v>17</v>
      </c>
      <c r="AO4" s="54" t="s">
        <v>18</v>
      </c>
      <c r="AP4" s="58" t="s">
        <v>44</v>
      </c>
      <c r="AQ4" s="61" t="s">
        <v>46</v>
      </c>
      <c r="AR4" s="61" t="s">
        <v>47</v>
      </c>
      <c r="AS4" s="61" t="s">
        <v>28</v>
      </c>
      <c r="AT4" s="64" t="s">
        <v>48</v>
      </c>
      <c r="AU4" s="64" t="s">
        <v>49</v>
      </c>
      <c r="AV4" s="2"/>
      <c r="AW4" s="72" t="s">
        <v>64</v>
      </c>
      <c r="AX4" s="72" t="s">
        <v>65</v>
      </c>
      <c r="AY4" s="72" t="s">
        <v>66</v>
      </c>
      <c r="AZ4" s="72" t="s">
        <v>67</v>
      </c>
      <c r="BA4" s="72" t="s">
        <v>68</v>
      </c>
      <c r="BB4" s="72" t="s">
        <v>69</v>
      </c>
      <c r="BC4" s="72" t="s">
        <v>70</v>
      </c>
      <c r="BD4" s="72" t="s">
        <v>71</v>
      </c>
      <c r="BE4" s="72" t="s">
        <v>72</v>
      </c>
      <c r="BF4" s="72" t="s">
        <v>73</v>
      </c>
      <c r="BG4" s="72" t="s">
        <v>74</v>
      </c>
      <c r="BH4" s="72"/>
      <c r="BI4" s="74" t="s">
        <v>79</v>
      </c>
      <c r="BJ4" s="74" t="s">
        <v>81</v>
      </c>
      <c r="BK4" s="74" t="s">
        <v>80</v>
      </c>
      <c r="BL4" s="74" t="s">
        <v>82</v>
      </c>
    </row>
    <row r="5" spans="1:64">
      <c r="A5" s="14" t="s">
        <v>14</v>
      </c>
      <c r="B5" s="15">
        <v>32570</v>
      </c>
      <c r="C5" s="14">
        <v>1989</v>
      </c>
      <c r="D5" s="66">
        <v>45.4</v>
      </c>
      <c r="E5" s="21">
        <f>10*D5</f>
        <v>454</v>
      </c>
      <c r="F5" s="18">
        <f>AB5*AW5+AC5*AX5+AD5*AY5+AE5*AZ5+AF5*BA5+AG5*BB5+AH5*BC5+AK5*BD5+AL5*BE5+AN5*BF5+AO5*BG5</f>
        <v>379.34880345602983</v>
      </c>
      <c r="G5" s="18">
        <f>100*(F5-E5)/(E5)</f>
        <v>-16.442994833473605</v>
      </c>
      <c r="H5" s="67">
        <v>7.7</v>
      </c>
      <c r="I5" s="68">
        <v>354</v>
      </c>
      <c r="J5" s="67">
        <v>1.6</v>
      </c>
      <c r="K5" s="67">
        <v>24.9</v>
      </c>
      <c r="L5" s="67">
        <v>47.9</v>
      </c>
      <c r="M5" s="69">
        <v>0.09</v>
      </c>
      <c r="N5" s="67">
        <v>4.5999999999999996</v>
      </c>
      <c r="O5" s="70">
        <v>1.04</v>
      </c>
      <c r="P5" s="67">
        <v>1.7</v>
      </c>
      <c r="Q5" s="70">
        <v>5.0000000000000001E-3</v>
      </c>
      <c r="R5" s="67">
        <v>220.1</v>
      </c>
      <c r="S5" s="69">
        <v>5.54</v>
      </c>
      <c r="T5" s="69">
        <v>0.21</v>
      </c>
      <c r="U5" s="70">
        <v>0.05</v>
      </c>
      <c r="V5" s="40">
        <f>J5+K5+L5+M5+N5+O5+P5+Q5+R5+2.14*S5+T5+U5</f>
        <v>314.05059999999997</v>
      </c>
      <c r="W5" s="41">
        <f>100*(V5-I5)/I5</f>
        <v>-11.285141242937859</v>
      </c>
      <c r="X5" s="41">
        <f t="shared" ref="X5:X10" si="0">I5/E5</f>
        <v>0.77973568281938321</v>
      </c>
      <c r="Y5" s="46">
        <f>(J5/23)+2*(K5/24.3)+2*(L5/40.1)+(T5/39.1)+(U5/18)</f>
        <v>4.5161239866296814</v>
      </c>
      <c r="Z5" s="46">
        <f t="shared" ref="Z5:Z10" si="1">(M5/19)+(N5/35.5)+(O5/62)+2*(P5/96.1)+3*(Q5/95)+2*AM5</f>
        <v>4.5886262078743343</v>
      </c>
      <c r="AA5" s="47">
        <f t="shared" ref="AA5:AA10" si="2">100*(Y5-Z5)/(Y5+Z5)</f>
        <v>-0.7963120315856449</v>
      </c>
      <c r="AB5" s="55">
        <f>J5/23</f>
        <v>6.9565217391304349E-2</v>
      </c>
      <c r="AC5" s="55">
        <f>K5/24.3</f>
        <v>1.0246913580246912</v>
      </c>
      <c r="AD5" s="55">
        <f>L5/40.1</f>
        <v>1.1945137157107231</v>
      </c>
      <c r="AE5" s="55">
        <f>M5/19</f>
        <v>4.7368421052631574E-3</v>
      </c>
      <c r="AF5" s="55">
        <f>N5/35.5</f>
        <v>0.12957746478873239</v>
      </c>
      <c r="AG5" s="55">
        <f>O5/62</f>
        <v>1.6774193548387096E-2</v>
      </c>
      <c r="AH5" s="55">
        <f>P5/96.1</f>
        <v>1.7689906347554633E-2</v>
      </c>
      <c r="AI5" s="56">
        <f>Q5/95</f>
        <v>5.2631578947368424E-5</v>
      </c>
      <c r="AJ5" s="55">
        <f>S5/28.1</f>
        <v>0.19715302491103201</v>
      </c>
      <c r="AK5" s="55">
        <f>T5/39.1</f>
        <v>5.3708439897698209E-3</v>
      </c>
      <c r="AL5" s="55">
        <f>U5/18</f>
        <v>2.7777777777777779E-3</v>
      </c>
      <c r="AM5" s="55">
        <f t="shared" ref="AM5:AM10" si="3">R5/100</f>
        <v>2.2010000000000001</v>
      </c>
      <c r="AN5" s="55">
        <f>(2*AM5-10^(-14+H5))/(1+2*10^-10.3*10^H5)</f>
        <v>4.3799953967981828</v>
      </c>
      <c r="AO5" s="55">
        <f t="shared" ref="AO5:AO10" si="4">(10^-10.3*AN5)/10^-H5</f>
        <v>1.1002051007291735E-2</v>
      </c>
      <c r="AP5" s="59">
        <f t="shared" ref="AP5:AP10" si="5">0.5*(AB5+4*AC5+4*AD5+AK5+AL5+AE5+AF5+AG5+4*AH5+9*AI5+AN5+4*AO5)*10^-3</f>
        <v>6.8004297724854942E-3</v>
      </c>
      <c r="AQ5" s="62">
        <f t="shared" ref="AQ5:AQ10" si="6">100*(AN5+2*AO5)/(AN5+2*AO5+2*AH5+AF5)</f>
        <v>96.388026303642675</v>
      </c>
      <c r="AR5" s="62">
        <f>100*2*AH5/(2*AH5+AN5+2*AO5+AF5)</f>
        <v>0.77469120966367289</v>
      </c>
      <c r="AS5" s="62">
        <f>100*AF5/(AF5+2*AH5+AN5+2*AO5)</f>
        <v>2.8372824866936464</v>
      </c>
      <c r="AT5" s="65">
        <f>AB5/(AC5+AD5)^0.5</f>
        <v>4.6697478230300585E-2</v>
      </c>
      <c r="AU5" s="65">
        <f t="shared" ref="AU5:AU10" si="7">AB5/((2*AC5+BL5)/2)^0.5</f>
        <v>5.3664293139677861E-2</v>
      </c>
      <c r="AV5" s="4"/>
      <c r="AW5" s="75">
        <f>'EC ion parameters'!$B$7-('EC ion parameters'!$C$7*$AP5^0.5)/(1+'EC ion parameters'!$D$7*$AP5^0.5)</f>
        <v>41.297446734765721</v>
      </c>
      <c r="AX5" s="75">
        <f>'EC ion parameters'!$B$6-('EC ion parameters'!$C$6*$AP5^0.5)/(1+'EC ion parameters'!$D$6*$AP5^0.5)</f>
        <v>86.291623122814613</v>
      </c>
      <c r="AY5" s="75">
        <f>'EC ion parameters'!$B$5-('EC ion parameters'!$C$5*$AP5^0.5)/(1+'EC ion parameters'!$D$5*$AP5^0.5)</f>
        <v>92.976589813493291</v>
      </c>
      <c r="AZ5" s="75">
        <f>'EC ion parameters'!$B$13-('EC ion parameters'!$C$13*$AP5^0.5)/(1+'EC ion parameters'!$D$13*$AP5^0.5)</f>
        <v>46.935112370440507</v>
      </c>
      <c r="BA5" s="75">
        <f>'EC ion parameters'!$B$10-('EC ion parameters'!$C$10*$AP5^0.5)/(1+'EC ion parameters'!$D$10*$AP5^0.5)</f>
        <v>66.071805709315385</v>
      </c>
      <c r="BB5" s="75">
        <f>'EC ion parameters'!$B$12-('EC ion parameters'!$C$12*$AP5^0.5)/(1+'EC ion parameters'!$D$12*$AP5^0.5)</f>
        <v>62.71960107675315</v>
      </c>
      <c r="BC5" s="75">
        <f>'EC ion parameters'!$B$15-('EC ion parameters'!$C$15*$AP5^0.5)/(1+'EC ion parameters'!$D$15*$AP5^0.5)</f>
        <v>121.23757987543515</v>
      </c>
      <c r="BD5" s="75">
        <f>'EC ion parameters'!$B$9-('EC ion parameters'!$C$9*$AP5^0.5)/(1+'EC ion parameters'!$D$9*$AP5^0.5)</f>
        <v>63.956194413993877</v>
      </c>
      <c r="BE5" s="75">
        <f>'EC ion parameters'!$B$8-('EC ion parameters'!$C$8*$AP5^0.5)/(1+'EC ion parameters'!$D$8*$AP5^0.5)</f>
        <v>64.156455065105163</v>
      </c>
      <c r="BF5" s="75">
        <f>'EC ion parameters'!$B$11-('EC ion parameters'!$C$11*$AP5^0.5)/(1+'EC ion parameters'!$D$11*$AP5^0.5)</f>
        <v>37.283732738973512</v>
      </c>
      <c r="BG5" s="75">
        <f>'EC ion parameters'!$B$14-('EC ion parameters'!$C$14*$AP5^0.5)/(1+'EC ion parameters'!$D$14*$AP5^0.5)</f>
        <v>107.89470015730313</v>
      </c>
      <c r="BH5" s="73"/>
      <c r="BI5" s="76">
        <f>AB5+2*AD5+2*AC5</f>
        <v>4.5079753648621335</v>
      </c>
      <c r="BJ5" s="77">
        <f>(1.3477*BI5+0.5355)/1000</f>
        <v>6.6108983992246963E-3</v>
      </c>
      <c r="BK5" s="76">
        <f t="shared" ref="BK5:BK10" si="8">(4.6629+0.6103*LOG10(BJ5)+0.0844*(LOG10(BJ5))^2+2*LOG10(2*AD5/(2*AN5)))/3</f>
        <v>0.86834888609346128</v>
      </c>
      <c r="BL5" s="76">
        <f>0.17758*10^BK5</f>
        <v>1.3114234275984356</v>
      </c>
    </row>
    <row r="6" spans="1:64" ht="15" customHeight="1">
      <c r="A6" s="14" t="s">
        <v>14</v>
      </c>
      <c r="B6" s="15">
        <v>32661</v>
      </c>
      <c r="C6" s="14">
        <v>1989</v>
      </c>
      <c r="D6" s="66">
        <v>44.6</v>
      </c>
      <c r="E6" s="21">
        <f t="shared" ref="E6:E10" si="9">10*D6</f>
        <v>446</v>
      </c>
      <c r="F6" s="18">
        <f t="shared" ref="F6:F10" si="10">AB6*AW6+AC6*AX6+AD6*AY6+AE6*AZ6+AF6*BA6+AG6*BB6+AH6*BC6+AK6*BD6+AL6*BE6+AN6*BF6+AO6*BG6</f>
        <v>397.90892411659854</v>
      </c>
      <c r="G6" s="18">
        <f t="shared" ref="G6:G10" si="11">100*(F6-E6)/(E6)</f>
        <v>-10.782752440224543</v>
      </c>
      <c r="H6" s="67">
        <v>7.7</v>
      </c>
      <c r="I6" s="68">
        <v>362</v>
      </c>
      <c r="J6" s="67">
        <v>2.8</v>
      </c>
      <c r="K6" s="67">
        <v>28</v>
      </c>
      <c r="L6" s="67">
        <v>47.4</v>
      </c>
      <c r="M6" s="69">
        <v>0.1</v>
      </c>
      <c r="N6" s="67">
        <v>6.5</v>
      </c>
      <c r="O6" s="70">
        <v>1.0900000000000001</v>
      </c>
      <c r="P6" s="67">
        <v>5.3</v>
      </c>
      <c r="Q6" s="70">
        <v>8.0000000000000002E-3</v>
      </c>
      <c r="R6" s="67">
        <v>218.7</v>
      </c>
      <c r="S6" s="69">
        <v>6.07</v>
      </c>
      <c r="T6" s="69">
        <v>0.4</v>
      </c>
      <c r="U6" s="70">
        <v>0.04</v>
      </c>
      <c r="V6" s="40">
        <f t="shared" ref="V6:V10" si="12">J6+K6+L6+M6+N6+O6+P6+Q6+R6+2.14*S6+T6+U6</f>
        <v>323.32779999999997</v>
      </c>
      <c r="W6" s="41">
        <f t="shared" ref="W6:W10" si="13">100*(V6-I6)/I6</f>
        <v>-10.682928176795588</v>
      </c>
      <c r="X6" s="41">
        <f t="shared" si="0"/>
        <v>0.81165919282511212</v>
      </c>
      <c r="Y6" s="46">
        <f t="shared" ref="Y6:Y10" si="14">(J6/23)+2*(K6/24.3)+2*(L6/40.1)+(T6/39.1)+(U6/18)</f>
        <v>4.8028080562174278</v>
      </c>
      <c r="Z6" s="46">
        <f t="shared" si="1"/>
        <v>4.690496795174905</v>
      </c>
      <c r="AA6" s="47">
        <f t="shared" si="2"/>
        <v>1.1830575632051956</v>
      </c>
      <c r="AB6" s="55">
        <f t="shared" ref="AB6:AB10" si="15">J6/23</f>
        <v>0.1217391304347826</v>
      </c>
      <c r="AC6" s="55">
        <f t="shared" ref="AC6:AC10" si="16">K6/24.3</f>
        <v>1.1522633744855966</v>
      </c>
      <c r="AD6" s="55">
        <f t="shared" ref="AD6:AD10" si="17">L6/40.1</f>
        <v>1.1820448877805485</v>
      </c>
      <c r="AE6" s="55">
        <f t="shared" ref="AE6:AE10" si="18">M6/19</f>
        <v>5.263157894736842E-3</v>
      </c>
      <c r="AF6" s="55">
        <f t="shared" ref="AF6:AF10" si="19">N6/35.5</f>
        <v>0.18309859154929578</v>
      </c>
      <c r="AG6" s="55">
        <f t="shared" ref="AG6:AG10" si="20">O6/62</f>
        <v>1.7580645161290324E-2</v>
      </c>
      <c r="AH6" s="55">
        <f t="shared" ref="AH6:AH10" si="21">P6/96.1</f>
        <v>5.5150884495317382E-2</v>
      </c>
      <c r="AI6" s="56">
        <f t="shared" ref="AI6:AI10" si="22">Q6/95</f>
        <v>8.4210526315789476E-5</v>
      </c>
      <c r="AJ6" s="55">
        <f t="shared" ref="AJ6:AJ10" si="23">S6/28.1</f>
        <v>0.21601423487544483</v>
      </c>
      <c r="AK6" s="55">
        <f t="shared" ref="AK6:AK10" si="24">T6/39.1</f>
        <v>1.0230179028132993E-2</v>
      </c>
      <c r="AL6" s="55">
        <f t="shared" ref="AL6:AL10" si="25">U6/18</f>
        <v>2.2222222222222222E-3</v>
      </c>
      <c r="AM6" s="57">
        <f t="shared" si="3"/>
        <v>2.1869999999999998</v>
      </c>
      <c r="AN6" s="57">
        <f t="shared" ref="AN6:AN10" si="26">(2*AM6-10^(-14+H6))/(1+2*10^-10.3*10^H6)</f>
        <v>4.3521353592985355</v>
      </c>
      <c r="AO6" s="57">
        <f t="shared" si="4"/>
        <v>1.0932069757115024E-2</v>
      </c>
      <c r="AP6" s="59">
        <f t="shared" si="5"/>
        <v>7.1472960232000738E-3</v>
      </c>
      <c r="AQ6" s="62">
        <f t="shared" si="6"/>
        <v>93.713837053150598</v>
      </c>
      <c r="AR6" s="62">
        <f t="shared" ref="AR6:AR10" si="27">100*2*AH6/(2*AH6+AN6+2*AO6+AF6)</f>
        <v>2.3632380407607094</v>
      </c>
      <c r="AS6" s="62">
        <f t="shared" ref="AS6:AS10" si="28">100*AF6/(AF6+2*AH6+AN6+2*AO6)</f>
        <v>3.9229249060886984</v>
      </c>
      <c r="AT6" s="65">
        <f t="shared" ref="AT6:AT10" si="29">AB6/(AC6+AD6)^0.5</f>
        <v>7.9680324063528624E-2</v>
      </c>
      <c r="AU6" s="65">
        <f t="shared" si="7"/>
        <v>9.0508773744927065E-2</v>
      </c>
      <c r="AV6" s="4"/>
      <c r="AW6" s="75">
        <f>'EC ion parameters'!$B$7-('EC ion parameters'!$C$7*$AP6^0.5)/(1+'EC ion parameters'!$D$7*$AP6^0.5)</f>
        <v>41.209851889636269</v>
      </c>
      <c r="AX6" s="75">
        <f>'EC ion parameters'!$B$6-('EC ion parameters'!$C$6*$AP6^0.5)/(1+'EC ion parameters'!$D$6*$AP6^0.5)</f>
        <v>86.098260500389699</v>
      </c>
      <c r="AY6" s="75">
        <f>'EC ion parameters'!$B$5-('EC ion parameters'!$C$5*$AP6^0.5)/(1+'EC ion parameters'!$D$5*$AP6^0.5)</f>
        <v>92.715070817644502</v>
      </c>
      <c r="AZ6" s="75">
        <f>'EC ion parameters'!$B$13-('EC ion parameters'!$C$13*$AP6^0.5)/(1+'EC ion parameters'!$D$13*$AP6^0.5)</f>
        <v>46.872997486164657</v>
      </c>
      <c r="BA6" s="75">
        <f>'EC ion parameters'!$B$10-('EC ion parameters'!$C$10*$AP6^0.5)/(1+'EC ion parameters'!$D$10*$AP6^0.5)</f>
        <v>66.000615914144674</v>
      </c>
      <c r="BB6" s="75">
        <f>'EC ion parameters'!$B$12-('EC ion parameters'!$C$12*$AP6^0.5)/(1+'EC ion parameters'!$D$12*$AP6^0.5)</f>
        <v>62.650410508947722</v>
      </c>
      <c r="BC6" s="75">
        <f>'EC ion parameters'!$B$15-('EC ion parameters'!$C$15*$AP6^0.5)/(1+'EC ion parameters'!$D$15*$AP6^0.5)</f>
        <v>120.78249855610298</v>
      </c>
      <c r="BD6" s="75">
        <f>'EC ion parameters'!$B$9-('EC ion parameters'!$C$9*$AP6^0.5)/(1+'EC ion parameters'!$D$9*$AP6^0.5)</f>
        <v>63.885066950901873</v>
      </c>
      <c r="BE6" s="75">
        <f>'EC ion parameters'!$B$8-('EC ion parameters'!$C$8*$AP6^0.5)/(1+'EC ion parameters'!$D$8*$AP6^0.5)</f>
        <v>64.10929525028034</v>
      </c>
      <c r="BF6" s="75">
        <f>'EC ion parameters'!$B$11-('EC ion parameters'!$C$11*$AP6^0.5)/(1+'EC ion parameters'!$D$11*$AP6^0.5)</f>
        <v>37.228841119403732</v>
      </c>
      <c r="BG6" s="75">
        <f>'EC ion parameters'!$B$14-('EC ion parameters'!$C$14*$AP6^0.5)/(1+'EC ion parameters'!$D$14*$AP6^0.5)</f>
        <v>107.55806422086107</v>
      </c>
      <c r="BH6" s="73"/>
      <c r="BI6" s="76">
        <f t="shared" ref="BI6:BI10" si="30">AB6+2*AD6+2*AC6</f>
        <v>4.7903556549670725</v>
      </c>
      <c r="BJ6" s="77">
        <f t="shared" ref="BJ6:BJ10" si="31">(1.3477*BI6+0.5355)/1000</f>
        <v>6.9914623161991228E-3</v>
      </c>
      <c r="BK6" s="76">
        <f t="shared" si="8"/>
        <v>0.86913862567670053</v>
      </c>
      <c r="BL6" s="76">
        <f t="shared" ref="BL6:BL10" si="32">0.17758*10^BK6</f>
        <v>1.3138103453937011</v>
      </c>
    </row>
    <row r="7" spans="1:64">
      <c r="A7" s="14" t="s">
        <v>14</v>
      </c>
      <c r="B7" s="15">
        <v>32753</v>
      </c>
      <c r="C7" s="14">
        <v>1989</v>
      </c>
      <c r="D7" s="66">
        <v>43.8</v>
      </c>
      <c r="E7" s="21">
        <f t="shared" si="9"/>
        <v>438</v>
      </c>
      <c r="F7" s="18">
        <f t="shared" si="10"/>
        <v>381.05556415249828</v>
      </c>
      <c r="G7" s="18">
        <f t="shared" si="11"/>
        <v>-13.001012750571169</v>
      </c>
      <c r="H7" s="67">
        <v>8.24</v>
      </c>
      <c r="I7" s="68">
        <v>353</v>
      </c>
      <c r="J7" s="67">
        <v>2.1</v>
      </c>
      <c r="K7" s="67">
        <v>28.1</v>
      </c>
      <c r="L7" s="67">
        <v>41.4</v>
      </c>
      <c r="M7" s="69">
        <v>7.0000000000000007E-2</v>
      </c>
      <c r="N7" s="67">
        <v>6.2</v>
      </c>
      <c r="O7" s="70">
        <v>1.03</v>
      </c>
      <c r="P7" s="67">
        <v>2.8</v>
      </c>
      <c r="Q7" s="70">
        <v>1.0999999999999999E-2</v>
      </c>
      <c r="R7" s="67">
        <v>219.2</v>
      </c>
      <c r="S7" s="69">
        <v>5.55</v>
      </c>
      <c r="T7" s="69">
        <v>0.27</v>
      </c>
      <c r="U7" s="70">
        <v>0.03</v>
      </c>
      <c r="V7" s="40">
        <f t="shared" si="12"/>
        <v>313.08799999999991</v>
      </c>
      <c r="W7" s="41">
        <f t="shared" si="13"/>
        <v>-11.306515580736569</v>
      </c>
      <c r="X7" s="41">
        <f t="shared" si="0"/>
        <v>0.80593607305936077</v>
      </c>
      <c r="Y7" s="46">
        <f t="shared" si="14"/>
        <v>4.4774714922197418</v>
      </c>
      <c r="Z7" s="46">
        <f t="shared" si="1"/>
        <v>4.6375650021714154</v>
      </c>
      <c r="AA7" s="47">
        <f t="shared" si="2"/>
        <v>-1.7563671856956959</v>
      </c>
      <c r="AB7" s="55">
        <f t="shared" si="15"/>
        <v>9.1304347826086957E-2</v>
      </c>
      <c r="AC7" s="55">
        <f t="shared" si="16"/>
        <v>1.1563786008230452</v>
      </c>
      <c r="AD7" s="55">
        <f t="shared" si="17"/>
        <v>1.0324189526184537</v>
      </c>
      <c r="AE7" s="55">
        <f t="shared" si="18"/>
        <v>3.6842105263157898E-3</v>
      </c>
      <c r="AF7" s="55">
        <f t="shared" si="19"/>
        <v>0.17464788732394368</v>
      </c>
      <c r="AG7" s="55">
        <f t="shared" si="20"/>
        <v>1.6612903225806452E-2</v>
      </c>
      <c r="AH7" s="55">
        <f t="shared" si="21"/>
        <v>2.9136316337148804E-2</v>
      </c>
      <c r="AI7" s="56">
        <f t="shared" si="22"/>
        <v>1.1578947368421052E-4</v>
      </c>
      <c r="AJ7" s="55">
        <f t="shared" si="23"/>
        <v>0.197508896797153</v>
      </c>
      <c r="AK7" s="55">
        <f t="shared" si="24"/>
        <v>6.9053708439897696E-3</v>
      </c>
      <c r="AL7" s="55">
        <f t="shared" si="25"/>
        <v>1.6666666666666666E-3</v>
      </c>
      <c r="AM7" s="57">
        <f t="shared" si="3"/>
        <v>2.1919999999999997</v>
      </c>
      <c r="AN7" s="57">
        <f t="shared" si="26"/>
        <v>4.308939670905648</v>
      </c>
      <c r="AO7" s="57">
        <f t="shared" si="4"/>
        <v>3.7529295646761496E-2</v>
      </c>
      <c r="AP7" s="59">
        <f t="shared" si="5"/>
        <v>6.8133279121416271E-3</v>
      </c>
      <c r="AQ7" s="62">
        <f t="shared" si="6"/>
        <v>94.955065683711624</v>
      </c>
      <c r="AR7" s="62">
        <f t="shared" si="27"/>
        <v>1.2621541643529384</v>
      </c>
      <c r="AS7" s="62">
        <f t="shared" si="28"/>
        <v>3.782780151935452</v>
      </c>
      <c r="AT7" s="65">
        <f t="shared" si="29"/>
        <v>6.1714705573555913E-2</v>
      </c>
      <c r="AU7" s="65">
        <f t="shared" si="7"/>
        <v>6.8872647778200249E-2</v>
      </c>
      <c r="AV7" s="4"/>
      <c r="AW7" s="75">
        <f>'EC ion parameters'!$B$7-('EC ion parameters'!$C$7*$AP7^0.5)/(1+'EC ion parameters'!$D$7*$AP7^0.5)</f>
        <v>41.294140262145113</v>
      </c>
      <c r="AX7" s="75">
        <f>'EC ion parameters'!$B$6-('EC ion parameters'!$C$6*$AP7^0.5)/(1+'EC ion parameters'!$D$6*$AP7^0.5)</f>
        <v>86.28431984913712</v>
      </c>
      <c r="AY7" s="75">
        <f>'EC ion parameters'!$B$5-('EC ion parameters'!$C$5*$AP7^0.5)/(1+'EC ion parameters'!$D$5*$AP7^0.5)</f>
        <v>92.966702751847933</v>
      </c>
      <c r="AZ7" s="75">
        <f>'EC ion parameters'!$B$13-('EC ion parameters'!$C$13*$AP7^0.5)/(1+'EC ion parameters'!$D$13*$AP7^0.5)</f>
        <v>46.932772420868268</v>
      </c>
      <c r="BA7" s="75">
        <f>'EC ion parameters'!$B$10-('EC ion parameters'!$C$10*$AP7^0.5)/(1+'EC ion parameters'!$D$10*$AP7^0.5)</f>
        <v>66.069119319507038</v>
      </c>
      <c r="BB7" s="75">
        <f>'EC ion parameters'!$B$12-('EC ion parameters'!$C$12*$AP7^0.5)/(1+'EC ion parameters'!$D$12*$AP7^0.5)</f>
        <v>62.716996559914286</v>
      </c>
      <c r="BC7" s="75">
        <f>'EC ion parameters'!$B$15-('EC ion parameters'!$C$15*$AP7^0.5)/(1+'EC ion parameters'!$D$15*$AP7^0.5)</f>
        <v>121.22037952017556</v>
      </c>
      <c r="BD7" s="75">
        <f>'EC ion parameters'!$B$9-('EC ion parameters'!$C$9*$AP7^0.5)/(1+'EC ion parameters'!$D$9*$AP7^0.5)</f>
        <v>63.953510376324068</v>
      </c>
      <c r="BE7" s="75">
        <f>'EC ion parameters'!$B$8-('EC ion parameters'!$C$8*$AP7^0.5)/(1+'EC ion parameters'!$D$8*$AP7^0.5)</f>
        <v>64.154679157645901</v>
      </c>
      <c r="BF7" s="75">
        <f>'EC ion parameters'!$B$11-('EC ion parameters'!$C$11*$AP7^0.5)/(1+'EC ion parameters'!$D$11*$AP7^0.5)</f>
        <v>37.281666472544188</v>
      </c>
      <c r="BG7" s="75">
        <f>'EC ion parameters'!$B$14-('EC ion parameters'!$C$14*$AP7^0.5)/(1+'EC ion parameters'!$D$14*$AP7^0.5)</f>
        <v>107.88198184693631</v>
      </c>
      <c r="BH7" s="73"/>
      <c r="BI7" s="76">
        <f t="shared" si="30"/>
        <v>4.468899454709085</v>
      </c>
      <c r="BJ7" s="77">
        <f t="shared" si="31"/>
        <v>6.5582357951114332E-3</v>
      </c>
      <c r="BK7" s="76">
        <f t="shared" si="8"/>
        <v>0.83058066211787918</v>
      </c>
      <c r="BL7" s="76">
        <f t="shared" si="32"/>
        <v>1.2021944363765862</v>
      </c>
    </row>
    <row r="8" spans="1:64">
      <c r="A8" s="14" t="s">
        <v>14</v>
      </c>
      <c r="B8" s="15">
        <v>32851</v>
      </c>
      <c r="C8" s="14">
        <v>1989</v>
      </c>
      <c r="D8" s="66">
        <v>39.6</v>
      </c>
      <c r="E8" s="21">
        <f t="shared" si="9"/>
        <v>396</v>
      </c>
      <c r="F8" s="18">
        <f t="shared" si="10"/>
        <v>390.53157918956128</v>
      </c>
      <c r="G8" s="18">
        <f t="shared" si="11"/>
        <v>-1.3809143460703825</v>
      </c>
      <c r="H8" s="67">
        <v>8.39</v>
      </c>
      <c r="I8" s="68">
        <v>359</v>
      </c>
      <c r="J8" s="67">
        <v>2</v>
      </c>
      <c r="K8" s="67">
        <v>26.5</v>
      </c>
      <c r="L8" s="67">
        <v>47.9</v>
      </c>
      <c r="M8" s="69">
        <v>0.11</v>
      </c>
      <c r="N8" s="67">
        <v>5.2</v>
      </c>
      <c r="O8" s="70">
        <v>0.93400000000000005</v>
      </c>
      <c r="P8" s="67">
        <v>3.7</v>
      </c>
      <c r="Q8" s="70">
        <v>6.0000000000000001E-3</v>
      </c>
      <c r="R8" s="67">
        <v>220.5</v>
      </c>
      <c r="S8" s="69">
        <v>5.83</v>
      </c>
      <c r="T8" s="69">
        <v>0.28999999999999998</v>
      </c>
      <c r="U8" s="70">
        <v>3.1E-2</v>
      </c>
      <c r="V8" s="40">
        <f t="shared" si="12"/>
        <v>319.64720000000005</v>
      </c>
      <c r="W8" s="41">
        <f t="shared" si="13"/>
        <v>-10.961782729804998</v>
      </c>
      <c r="X8" s="41">
        <f t="shared" si="0"/>
        <v>0.90656565656565657</v>
      </c>
      <c r="Y8" s="46">
        <f t="shared" si="14"/>
        <v>4.6661930140259322</v>
      </c>
      <c r="Z8" s="46">
        <f t="shared" si="1"/>
        <v>4.654525458485069</v>
      </c>
      <c r="AA8" s="47">
        <f t="shared" si="2"/>
        <v>0.12517871422974056</v>
      </c>
      <c r="AB8" s="55">
        <f t="shared" si="15"/>
        <v>8.6956521739130432E-2</v>
      </c>
      <c r="AC8" s="55">
        <f t="shared" si="16"/>
        <v>1.0905349794238683</v>
      </c>
      <c r="AD8" s="55">
        <f t="shared" si="17"/>
        <v>1.1945137157107231</v>
      </c>
      <c r="AE8" s="55">
        <f t="shared" si="18"/>
        <v>5.7894736842105266E-3</v>
      </c>
      <c r="AF8" s="55">
        <f t="shared" si="19"/>
        <v>0.14647887323943662</v>
      </c>
      <c r="AG8" s="55">
        <f t="shared" si="20"/>
        <v>1.5064516129032259E-2</v>
      </c>
      <c r="AH8" s="55">
        <f t="shared" si="21"/>
        <v>3.8501560874089492E-2</v>
      </c>
      <c r="AI8" s="56">
        <f t="shared" si="22"/>
        <v>6.3157894736842103E-5</v>
      </c>
      <c r="AJ8" s="55">
        <f t="shared" si="23"/>
        <v>0.20747330960854091</v>
      </c>
      <c r="AK8" s="55">
        <f t="shared" si="24"/>
        <v>7.4168797953964184E-3</v>
      </c>
      <c r="AL8" s="55">
        <f t="shared" si="25"/>
        <v>1.7222222222222222E-3</v>
      </c>
      <c r="AM8" s="57">
        <f t="shared" si="3"/>
        <v>2.2050000000000001</v>
      </c>
      <c r="AN8" s="57">
        <f t="shared" si="26"/>
        <v>4.3040937038804001</v>
      </c>
      <c r="AO8" s="57">
        <f t="shared" si="4"/>
        <v>5.2951920705342333E-2</v>
      </c>
      <c r="AP8" s="59">
        <f t="shared" si="5"/>
        <v>7.0370496592992767E-3</v>
      </c>
      <c r="AQ8" s="62">
        <f t="shared" si="6"/>
        <v>95.1767997884766</v>
      </c>
      <c r="AR8" s="62">
        <f t="shared" si="27"/>
        <v>1.6618854379045624</v>
      </c>
      <c r="AS8" s="62">
        <f t="shared" si="28"/>
        <v>3.1613147736188347</v>
      </c>
      <c r="AT8" s="65">
        <f t="shared" si="29"/>
        <v>5.752470893812596E-2</v>
      </c>
      <c r="AU8" s="65">
        <f t="shared" si="7"/>
        <v>6.5629024555249646E-2</v>
      </c>
      <c r="AV8" s="4"/>
      <c r="AW8" s="75">
        <f>'EC ion parameters'!$B$7-('EC ion parameters'!$C$7*$AP8^0.5)/(1+'EC ion parameters'!$D$7*$AP8^0.5)</f>
        <v>41.237399089167027</v>
      </c>
      <c r="AX8" s="75">
        <f>'EC ion parameters'!$B$6-('EC ion parameters'!$C$6*$AP8^0.5)/(1+'EC ion parameters'!$D$6*$AP8^0.5)</f>
        <v>86.159044201025523</v>
      </c>
      <c r="AY8" s="75">
        <f>'EC ion parameters'!$B$5-('EC ion parameters'!$C$5*$AP8^0.5)/(1+'EC ion parameters'!$D$5*$AP8^0.5)</f>
        <v>92.797223030527931</v>
      </c>
      <c r="AZ8" s="75">
        <f>'EC ion parameters'!$B$13-('EC ion parameters'!$C$13*$AP8^0.5)/(1+'EC ion parameters'!$D$13*$AP8^0.5)</f>
        <v>46.892559705051482</v>
      </c>
      <c r="BA8" s="75">
        <f>'EC ion parameters'!$B$10-('EC ion parameters'!$C$10*$AP8^0.5)/(1+'EC ion parameters'!$D$10*$AP8^0.5)</f>
        <v>66.023008945355684</v>
      </c>
      <c r="BB8" s="75">
        <f>'EC ion parameters'!$B$12-('EC ion parameters'!$C$12*$AP8^0.5)/(1+'EC ion parameters'!$D$12*$AP8^0.5)</f>
        <v>62.672212923977412</v>
      </c>
      <c r="BC8" s="75">
        <f>'EC ion parameters'!$B$15-('EC ion parameters'!$C$15*$AP8^0.5)/(1+'EC ion parameters'!$D$15*$AP8^0.5)</f>
        <v>120.9254825511546</v>
      </c>
      <c r="BD8" s="75">
        <f>'EC ion parameters'!$B$9-('EC ion parameters'!$C$9*$AP8^0.5)/(1+'EC ion parameters'!$D$9*$AP8^0.5)</f>
        <v>63.907440375311367</v>
      </c>
      <c r="BE8" s="75">
        <f>'EC ion parameters'!$B$8-('EC ion parameters'!$C$8*$AP8^0.5)/(1+'EC ion parameters'!$D$8*$AP8^0.5)</f>
        <v>64.124151536321477</v>
      </c>
      <c r="BF8" s="75">
        <f>'EC ion parameters'!$B$11-('EC ion parameters'!$C$11*$AP8^0.5)/(1+'EC ion parameters'!$D$11*$AP8^0.5)</f>
        <v>37.246137839310379</v>
      </c>
      <c r="BG8" s="75">
        <f>'EC ion parameters'!$B$14-('EC ion parameters'!$C$14*$AP8^0.5)/(1+'EC ion parameters'!$D$14*$AP8^0.5)</f>
        <v>107.66386449619823</v>
      </c>
      <c r="BH8" s="73"/>
      <c r="BI8" s="76">
        <f t="shared" si="30"/>
        <v>4.6570539120083136</v>
      </c>
      <c r="BJ8" s="77">
        <f t="shared" si="31"/>
        <v>6.8118115572136035E-3</v>
      </c>
      <c r="BK8" s="76">
        <f t="shared" si="8"/>
        <v>0.87446533270350246</v>
      </c>
      <c r="BL8" s="76">
        <f t="shared" si="32"/>
        <v>1.3300237138607609</v>
      </c>
    </row>
    <row r="9" spans="1:64">
      <c r="A9" s="14" t="s">
        <v>14</v>
      </c>
      <c r="B9" s="15">
        <v>33026</v>
      </c>
      <c r="C9" s="14">
        <v>1990</v>
      </c>
      <c r="D9" s="66">
        <v>36.299999999999997</v>
      </c>
      <c r="E9" s="21">
        <f t="shared" si="9"/>
        <v>363</v>
      </c>
      <c r="F9" s="18">
        <f t="shared" si="10"/>
        <v>399.43653733802239</v>
      </c>
      <c r="G9" s="18">
        <f t="shared" si="11"/>
        <v>10.037613591741705</v>
      </c>
      <c r="H9" s="67">
        <v>8.32</v>
      </c>
      <c r="I9" s="68">
        <v>370</v>
      </c>
      <c r="J9" s="67">
        <v>2.5</v>
      </c>
      <c r="K9" s="67">
        <v>28.7</v>
      </c>
      <c r="L9" s="67">
        <v>44.1</v>
      </c>
      <c r="M9" s="69">
        <v>0.11</v>
      </c>
      <c r="N9" s="67">
        <v>5.9</v>
      </c>
      <c r="O9" s="70">
        <v>1.0960000000000001</v>
      </c>
      <c r="P9" s="67">
        <v>5.6</v>
      </c>
      <c r="Q9" s="70">
        <v>7.0000000000000001E-3</v>
      </c>
      <c r="R9" s="67">
        <v>227.7</v>
      </c>
      <c r="S9" s="69">
        <v>5.88</v>
      </c>
      <c r="T9" s="69">
        <v>0.41</v>
      </c>
      <c r="U9" s="70">
        <v>5.2999999999999999E-2</v>
      </c>
      <c r="V9" s="40">
        <f t="shared" si="12"/>
        <v>328.75919999999996</v>
      </c>
      <c r="W9" s="41">
        <f t="shared" si="13"/>
        <v>-11.146162162162172</v>
      </c>
      <c r="X9" s="41">
        <f t="shared" si="0"/>
        <v>1.0192837465564739</v>
      </c>
      <c r="Y9" s="46">
        <f t="shared" si="14"/>
        <v>4.6837671947004598</v>
      </c>
      <c r="Z9" s="46">
        <f t="shared" si="1"/>
        <v>4.860430394117814</v>
      </c>
      <c r="AA9" s="47">
        <f t="shared" si="2"/>
        <v>-1.8510010692185173</v>
      </c>
      <c r="AB9" s="55">
        <f t="shared" si="15"/>
        <v>0.10869565217391304</v>
      </c>
      <c r="AC9" s="55">
        <f t="shared" si="16"/>
        <v>1.1810699588477365</v>
      </c>
      <c r="AD9" s="55">
        <f t="shared" si="17"/>
        <v>1.0997506234413965</v>
      </c>
      <c r="AE9" s="55">
        <f t="shared" si="18"/>
        <v>5.7894736842105266E-3</v>
      </c>
      <c r="AF9" s="55">
        <f t="shared" si="19"/>
        <v>0.16619718309859155</v>
      </c>
      <c r="AG9" s="55">
        <f t="shared" si="20"/>
        <v>1.767741935483871E-2</v>
      </c>
      <c r="AH9" s="55">
        <f t="shared" si="21"/>
        <v>5.8272632674297609E-2</v>
      </c>
      <c r="AI9" s="56">
        <f t="shared" si="22"/>
        <v>7.3684210526315789E-5</v>
      </c>
      <c r="AJ9" s="55">
        <f t="shared" si="23"/>
        <v>0.20925266903914588</v>
      </c>
      <c r="AK9" s="55">
        <f t="shared" si="24"/>
        <v>1.0485933503836316E-2</v>
      </c>
      <c r="AL9" s="55">
        <f t="shared" si="25"/>
        <v>2.9444444444444444E-3</v>
      </c>
      <c r="AM9" s="57">
        <f t="shared" si="3"/>
        <v>2.2769999999999997</v>
      </c>
      <c r="AN9" s="57">
        <f t="shared" si="26"/>
        <v>4.4605818586026524</v>
      </c>
      <c r="AO9" s="57">
        <f t="shared" si="4"/>
        <v>4.6708026050607671E-2</v>
      </c>
      <c r="AP9" s="59">
        <f t="shared" si="5"/>
        <v>7.1581200434066884E-3</v>
      </c>
      <c r="AQ9" s="62">
        <f t="shared" si="6"/>
        <v>94.154276900304524</v>
      </c>
      <c r="AR9" s="62">
        <f t="shared" si="27"/>
        <v>2.4095828325391286</v>
      </c>
      <c r="AS9" s="62">
        <f t="shared" si="28"/>
        <v>3.4361402671563401</v>
      </c>
      <c r="AT9" s="65">
        <f t="shared" si="29"/>
        <v>7.1972503738998272E-2</v>
      </c>
      <c r="AU9" s="65">
        <f t="shared" si="7"/>
        <v>8.1112703832533412E-2</v>
      </c>
      <c r="AV9" s="4"/>
      <c r="AW9" s="75">
        <f>'EC ion parameters'!$B$7-('EC ion parameters'!$C$7*$AP9^0.5)/(1+'EC ion parameters'!$D$7*$AP9^0.5)</f>
        <v>41.207161662883728</v>
      </c>
      <c r="AX9" s="75">
        <f>'EC ion parameters'!$B$6-('EC ion parameters'!$C$6*$AP9^0.5)/(1+'EC ion parameters'!$D$6*$AP9^0.5)</f>
        <v>86.092325704382304</v>
      </c>
      <c r="AY9" s="75">
        <f>'EC ion parameters'!$B$5-('EC ion parameters'!$C$5*$AP9^0.5)/(1+'EC ion parameters'!$D$5*$AP9^0.5)</f>
        <v>92.707052417145576</v>
      </c>
      <c r="AZ9" s="75">
        <f>'EC ion parameters'!$B$13-('EC ion parameters'!$C$13*$AP9^0.5)/(1+'EC ion parameters'!$D$13*$AP9^0.5)</f>
        <v>46.87108567995579</v>
      </c>
      <c r="BA9" s="75">
        <f>'EC ion parameters'!$B$10-('EC ion parameters'!$C$10*$AP9^0.5)/(1+'EC ion parameters'!$D$10*$AP9^0.5)</f>
        <v>65.998428793266001</v>
      </c>
      <c r="BB9" s="75">
        <f>'EC ion parameters'!$B$12-('EC ion parameters'!$C$12*$AP9^0.5)/(1+'EC ion parameters'!$D$12*$AP9^0.5)</f>
        <v>62.648279186618616</v>
      </c>
      <c r="BC9" s="75">
        <f>'EC ion parameters'!$B$15-('EC ion parameters'!$C$15*$AP9^0.5)/(1+'EC ion parameters'!$D$15*$AP9^0.5)</f>
        <v>120.76854138728638</v>
      </c>
      <c r="BD9" s="75">
        <f>'EC ion parameters'!$B$9-('EC ion parameters'!$C$9*$AP9^0.5)/(1+'EC ion parameters'!$D$9*$AP9^0.5)</f>
        <v>63.882881745013847</v>
      </c>
      <c r="BE9" s="75">
        <f>'EC ion parameters'!$B$8-('EC ion parameters'!$C$8*$AP9^0.5)/(1+'EC ion parameters'!$D$8*$AP9^0.5)</f>
        <v>64.107843157321099</v>
      </c>
      <c r="BF9" s="75">
        <f>'EC ion parameters'!$B$11-('EC ion parameters'!$C$11*$AP9^0.5)/(1+'EC ion parameters'!$D$11*$AP9^0.5)</f>
        <v>37.22715025693244</v>
      </c>
      <c r="BG9" s="75">
        <f>'EC ion parameters'!$B$14-('EC ion parameters'!$C$14*$AP9^0.5)/(1+'EC ion parameters'!$D$14*$AP9^0.5)</f>
        <v>107.54773515530695</v>
      </c>
      <c r="BH9" s="73"/>
      <c r="BI9" s="76">
        <f t="shared" si="30"/>
        <v>4.6703368167521795</v>
      </c>
      <c r="BJ9" s="77">
        <f t="shared" si="31"/>
        <v>6.8297129279369121E-3</v>
      </c>
      <c r="BK9" s="76">
        <f t="shared" si="8"/>
        <v>0.84028713908680219</v>
      </c>
      <c r="BL9" s="76">
        <f t="shared" si="32"/>
        <v>1.2293659798096619</v>
      </c>
    </row>
    <row r="10" spans="1:64">
      <c r="A10" s="14" t="s">
        <v>14</v>
      </c>
      <c r="B10" s="15">
        <v>33124</v>
      </c>
      <c r="C10" s="14">
        <v>1990</v>
      </c>
      <c r="D10" s="66">
        <v>40.5</v>
      </c>
      <c r="E10" s="21">
        <f t="shared" si="9"/>
        <v>405</v>
      </c>
      <c r="F10" s="18">
        <f t="shared" si="10"/>
        <v>405.86385275879928</v>
      </c>
      <c r="G10" s="18">
        <f t="shared" si="11"/>
        <v>0.21329697748130433</v>
      </c>
      <c r="H10" s="67">
        <v>7.98</v>
      </c>
      <c r="I10" s="68">
        <v>371</v>
      </c>
      <c r="J10" s="67">
        <v>2.1</v>
      </c>
      <c r="K10" s="67">
        <v>27.4</v>
      </c>
      <c r="L10" s="67">
        <v>48.7</v>
      </c>
      <c r="M10" s="69">
        <v>0.17</v>
      </c>
      <c r="N10" s="67">
        <v>7.8</v>
      </c>
      <c r="O10" s="70">
        <v>1.0620000000000001</v>
      </c>
      <c r="P10" s="67">
        <v>6.3</v>
      </c>
      <c r="Q10" s="70">
        <v>0.02</v>
      </c>
      <c r="R10" s="67">
        <v>224.5</v>
      </c>
      <c r="S10" s="69">
        <v>5.66</v>
      </c>
      <c r="T10" s="69">
        <v>0.45</v>
      </c>
      <c r="U10" s="70">
        <v>4.9000000000000002E-2</v>
      </c>
      <c r="V10" s="40">
        <f t="shared" si="12"/>
        <v>330.66339999999997</v>
      </c>
      <c r="W10" s="41">
        <f t="shared" si="13"/>
        <v>-10.872398921832893</v>
      </c>
      <c r="X10" s="41">
        <f t="shared" si="0"/>
        <v>0.91604938271604941</v>
      </c>
      <c r="Y10" s="46">
        <f t="shared" si="14"/>
        <v>4.789607235174774</v>
      </c>
      <c r="Z10" s="46">
        <f t="shared" si="1"/>
        <v>4.8675397130028104</v>
      </c>
      <c r="AA10" s="47">
        <f t="shared" si="2"/>
        <v>-0.80699277173930895</v>
      </c>
      <c r="AB10" s="55">
        <f t="shared" si="15"/>
        <v>9.1304347826086957E-2</v>
      </c>
      <c r="AC10" s="55">
        <f t="shared" si="16"/>
        <v>1.1275720164609053</v>
      </c>
      <c r="AD10" s="55">
        <f t="shared" si="17"/>
        <v>1.2144638403990025</v>
      </c>
      <c r="AE10" s="55">
        <f t="shared" si="18"/>
        <v>8.9473684210526327E-3</v>
      </c>
      <c r="AF10" s="55">
        <f t="shared" si="19"/>
        <v>0.21971830985915491</v>
      </c>
      <c r="AG10" s="55">
        <f t="shared" si="20"/>
        <v>1.7129032258064517E-2</v>
      </c>
      <c r="AH10" s="55">
        <f t="shared" si="21"/>
        <v>6.555671175858481E-2</v>
      </c>
      <c r="AI10" s="56">
        <f t="shared" si="22"/>
        <v>2.105263157894737E-4</v>
      </c>
      <c r="AJ10" s="55">
        <f t="shared" si="23"/>
        <v>0.20142348754448397</v>
      </c>
      <c r="AK10" s="55">
        <f t="shared" si="24"/>
        <v>1.1508951406649617E-2</v>
      </c>
      <c r="AL10" s="55">
        <f t="shared" si="25"/>
        <v>2.7222222222222222E-3</v>
      </c>
      <c r="AM10" s="57">
        <f t="shared" si="3"/>
        <v>2.2450000000000001</v>
      </c>
      <c r="AN10" s="57">
        <f t="shared" si="26"/>
        <v>4.4474256103973628</v>
      </c>
      <c r="AO10" s="57">
        <f t="shared" si="4"/>
        <v>2.1286717305025502E-2</v>
      </c>
      <c r="AP10" s="59">
        <f t="shared" si="5"/>
        <v>7.2580838614633878E-3</v>
      </c>
      <c r="AQ10" s="62">
        <f t="shared" si="6"/>
        <v>92.752654462888273</v>
      </c>
      <c r="AR10" s="62">
        <f t="shared" si="27"/>
        <v>2.7084901232789202</v>
      </c>
      <c r="AS10" s="62">
        <f t="shared" si="28"/>
        <v>4.5388554138328026</v>
      </c>
      <c r="AT10" s="65">
        <f t="shared" si="29"/>
        <v>5.966157152399916E-2</v>
      </c>
      <c r="AU10" s="65">
        <f t="shared" si="7"/>
        <v>6.8307279618331468E-2</v>
      </c>
      <c r="AV10" s="4"/>
      <c r="AW10" s="75">
        <f>'EC ion parameters'!$B$7-('EC ion parameters'!$C$7*$AP10^0.5)/(1+'EC ion parameters'!$D$7*$AP10^0.5)</f>
        <v>41.182435919264734</v>
      </c>
      <c r="AX10" s="75">
        <f>'EC ion parameters'!$B$6-('EC ion parameters'!$C$6*$AP10^0.5)/(1+'EC ion parameters'!$D$6*$AP10^0.5)</f>
        <v>86.037789844040191</v>
      </c>
      <c r="AY10" s="75">
        <f>'EC ion parameters'!$B$5-('EC ion parameters'!$C$5*$AP10^0.5)/(1+'EC ion parameters'!$D$5*$AP10^0.5)</f>
        <v>92.633393040168357</v>
      </c>
      <c r="AZ10" s="75">
        <f>'EC ion parameters'!$B$13-('EC ion parameters'!$C$13*$AP10^0.5)/(1+'EC ion parameters'!$D$13*$AP10^0.5)</f>
        <v>46.853502820179457</v>
      </c>
      <c r="BA10" s="75">
        <f>'EC ion parameters'!$B$10-('EC ion parameters'!$C$10*$AP10^0.5)/(1+'EC ion parameters'!$D$10*$AP10^0.5)</f>
        <v>65.978325036954445</v>
      </c>
      <c r="BB10" s="75">
        <f>'EC ion parameters'!$B$12-('EC ion parameters'!$C$12*$AP10^0.5)/(1+'EC ion parameters'!$D$12*$AP10^0.5)</f>
        <v>62.628672570960013</v>
      </c>
      <c r="BC10" s="75">
        <f>'EC ion parameters'!$B$15-('EC ion parameters'!$C$15*$AP10^0.5)/(1+'EC ion parameters'!$D$15*$AP10^0.5)</f>
        <v>120.64031566454298</v>
      </c>
      <c r="BD10" s="75">
        <f>'EC ion parameters'!$B$9-('EC ion parameters'!$C$9*$AP10^0.5)/(1+'EC ion parameters'!$D$9*$AP10^0.5)</f>
        <v>63.862795591069563</v>
      </c>
      <c r="BE10" s="75">
        <f>'EC ion parameters'!$B$8-('EC ion parameters'!$C$8*$AP10^0.5)/(1+'EC ion parameters'!$D$8*$AP10^0.5)</f>
        <v>64.094486644055081</v>
      </c>
      <c r="BF10" s="75">
        <f>'EC ion parameters'!$B$11-('EC ion parameters'!$C$11*$AP10^0.5)/(1+'EC ion parameters'!$D$11*$AP10^0.5)</f>
        <v>37.211595551689825</v>
      </c>
      <c r="BG10" s="75">
        <f>'EC ion parameters'!$B$14-('EC ion parameters'!$C$14*$AP10^0.5)/(1+'EC ion parameters'!$D$14*$AP10^0.5)</f>
        <v>107.45282839528943</v>
      </c>
      <c r="BH10" s="73"/>
      <c r="BI10" s="76">
        <f t="shared" si="30"/>
        <v>4.7753760615459022</v>
      </c>
      <c r="BJ10" s="77">
        <f t="shared" si="31"/>
        <v>6.9712743181454115E-3</v>
      </c>
      <c r="BK10" s="76">
        <f t="shared" si="8"/>
        <v>0.87059837738150525</v>
      </c>
      <c r="BL10" s="76">
        <f t="shared" si="32"/>
        <v>1.3182337578588403</v>
      </c>
    </row>
    <row r="11" spans="1:64">
      <c r="A11" s="14"/>
      <c r="B11" s="15"/>
      <c r="C11" s="14"/>
      <c r="D11" s="22"/>
      <c r="E11" s="21"/>
      <c r="F11" s="18"/>
      <c r="G11" s="18"/>
      <c r="H11" s="32"/>
      <c r="I11" s="33"/>
      <c r="J11" s="32"/>
      <c r="K11" s="32"/>
      <c r="L11" s="32"/>
      <c r="M11" s="34"/>
      <c r="N11" s="32"/>
      <c r="O11" s="35"/>
      <c r="P11" s="32"/>
      <c r="Q11" s="35"/>
      <c r="R11" s="32"/>
      <c r="S11" s="34"/>
      <c r="T11" s="34"/>
      <c r="U11" s="35"/>
      <c r="V11" s="40"/>
      <c r="W11" s="41"/>
      <c r="X11" s="41"/>
      <c r="Y11" s="46"/>
      <c r="Z11" s="46"/>
      <c r="AA11" s="47"/>
      <c r="AB11" s="55"/>
      <c r="AC11" s="55"/>
      <c r="AD11" s="55"/>
      <c r="AE11" s="55"/>
      <c r="AF11" s="55"/>
      <c r="AG11" s="55"/>
      <c r="AH11" s="55"/>
      <c r="AI11" s="56"/>
      <c r="AJ11" s="55"/>
      <c r="AK11" s="55"/>
      <c r="AL11" s="55"/>
      <c r="AM11" s="57"/>
      <c r="AN11" s="57"/>
      <c r="AO11" s="57"/>
      <c r="AP11" s="59"/>
      <c r="AQ11" s="62"/>
      <c r="AR11" s="62"/>
      <c r="AS11" s="62"/>
      <c r="AT11" s="65"/>
      <c r="AU11" s="65"/>
      <c r="AV11" s="4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3"/>
      <c r="BI11" s="76"/>
      <c r="BJ11" s="77"/>
      <c r="BK11" s="76"/>
      <c r="BL11" s="76"/>
    </row>
    <row r="12" spans="1:64">
      <c r="A12" s="14"/>
      <c r="B12" s="15"/>
      <c r="C12" s="14"/>
      <c r="D12" s="22"/>
      <c r="E12" s="21"/>
      <c r="F12" s="18"/>
      <c r="G12" s="18"/>
      <c r="H12" s="32"/>
      <c r="I12" s="33"/>
      <c r="J12" s="32"/>
      <c r="K12" s="32"/>
      <c r="L12" s="32"/>
      <c r="M12" s="34"/>
      <c r="N12" s="32"/>
      <c r="O12" s="35"/>
      <c r="P12" s="32"/>
      <c r="Q12" s="35"/>
      <c r="R12" s="32"/>
      <c r="S12" s="34"/>
      <c r="T12" s="34"/>
      <c r="U12" s="35"/>
      <c r="V12" s="40"/>
      <c r="W12" s="41"/>
      <c r="X12" s="41"/>
      <c r="Y12" s="46"/>
      <c r="Z12" s="46"/>
      <c r="AA12" s="47"/>
      <c r="AB12" s="55"/>
      <c r="AC12" s="55"/>
      <c r="AD12" s="55"/>
      <c r="AE12" s="55"/>
      <c r="AF12" s="55"/>
      <c r="AG12" s="55"/>
      <c r="AH12" s="55"/>
      <c r="AI12" s="56"/>
      <c r="AJ12" s="55"/>
      <c r="AK12" s="55"/>
      <c r="AL12" s="55"/>
      <c r="AM12" s="57"/>
      <c r="AN12" s="57"/>
      <c r="AO12" s="57"/>
      <c r="AP12" s="59"/>
      <c r="AQ12" s="62"/>
      <c r="AR12" s="62"/>
      <c r="AS12" s="62"/>
      <c r="AT12" s="65"/>
      <c r="AU12" s="65"/>
      <c r="AV12" s="4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3"/>
      <c r="BI12" s="76"/>
      <c r="BJ12" s="77"/>
      <c r="BK12" s="76"/>
      <c r="BL12" s="76"/>
    </row>
    <row r="13" spans="1:64">
      <c r="A13" s="14"/>
      <c r="B13" s="15"/>
      <c r="C13" s="14"/>
      <c r="D13" s="22"/>
      <c r="E13" s="21"/>
      <c r="F13" s="18"/>
      <c r="G13" s="18"/>
      <c r="H13" s="32"/>
      <c r="I13" s="33"/>
      <c r="J13" s="32"/>
      <c r="K13" s="32"/>
      <c r="L13" s="32"/>
      <c r="M13" s="34"/>
      <c r="N13" s="32"/>
      <c r="O13" s="35"/>
      <c r="P13" s="32"/>
      <c r="Q13" s="35"/>
      <c r="R13" s="32"/>
      <c r="S13" s="34"/>
      <c r="T13" s="34"/>
      <c r="U13" s="35"/>
      <c r="V13" s="40"/>
      <c r="W13" s="41"/>
      <c r="X13" s="41"/>
      <c r="Y13" s="46"/>
      <c r="Z13" s="46"/>
      <c r="AA13" s="47"/>
      <c r="AB13" s="55"/>
      <c r="AC13" s="55"/>
      <c r="AD13" s="55"/>
      <c r="AE13" s="55"/>
      <c r="AF13" s="55"/>
      <c r="AG13" s="55"/>
      <c r="AH13" s="55"/>
      <c r="AI13" s="56"/>
      <c r="AJ13" s="55"/>
      <c r="AK13" s="55"/>
      <c r="AL13" s="55"/>
      <c r="AM13" s="57"/>
      <c r="AN13" s="57"/>
      <c r="AO13" s="57"/>
      <c r="AP13" s="59"/>
      <c r="AQ13" s="62"/>
      <c r="AR13" s="62"/>
      <c r="AS13" s="62"/>
      <c r="AT13" s="65"/>
      <c r="AU13" s="65"/>
      <c r="AV13" s="4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3"/>
      <c r="BI13" s="76"/>
      <c r="BJ13" s="77"/>
      <c r="BK13" s="76"/>
      <c r="BL13" s="76"/>
    </row>
    <row r="14" spans="1:64">
      <c r="A14" s="14"/>
      <c r="B14" s="15"/>
      <c r="C14" s="14"/>
      <c r="D14" s="22"/>
      <c r="E14" s="21"/>
      <c r="F14" s="18"/>
      <c r="G14" s="18"/>
      <c r="H14" s="32"/>
      <c r="I14" s="33"/>
      <c r="J14" s="32"/>
      <c r="K14" s="32"/>
      <c r="L14" s="32"/>
      <c r="M14" s="34"/>
      <c r="N14" s="32"/>
      <c r="O14" s="35"/>
      <c r="P14" s="32"/>
      <c r="Q14" s="35"/>
      <c r="R14" s="32"/>
      <c r="S14" s="34"/>
      <c r="T14" s="34"/>
      <c r="U14" s="35"/>
      <c r="V14" s="40"/>
      <c r="W14" s="41"/>
      <c r="X14" s="41"/>
      <c r="Y14" s="46"/>
      <c r="Z14" s="46"/>
      <c r="AA14" s="47"/>
      <c r="AB14" s="55"/>
      <c r="AC14" s="55"/>
      <c r="AD14" s="55"/>
      <c r="AE14" s="55"/>
      <c r="AF14" s="55"/>
      <c r="AG14" s="55"/>
      <c r="AH14" s="55"/>
      <c r="AI14" s="56"/>
      <c r="AJ14" s="55"/>
      <c r="AK14" s="55"/>
      <c r="AL14" s="55"/>
      <c r="AM14" s="57"/>
      <c r="AN14" s="57"/>
      <c r="AO14" s="57"/>
      <c r="AP14" s="59"/>
      <c r="AQ14" s="62"/>
      <c r="AR14" s="62"/>
      <c r="AS14" s="62"/>
      <c r="AT14" s="65"/>
      <c r="AU14" s="65"/>
      <c r="AV14" s="4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3"/>
      <c r="BI14" s="76"/>
      <c r="BJ14" s="77"/>
      <c r="BK14" s="76"/>
      <c r="BL14" s="76"/>
    </row>
    <row r="15" spans="1:64">
      <c r="A15" s="14"/>
      <c r="B15" s="15"/>
      <c r="C15" s="14"/>
      <c r="D15" s="22"/>
      <c r="E15" s="21"/>
      <c r="F15" s="18"/>
      <c r="G15" s="18"/>
      <c r="H15" s="32"/>
      <c r="I15" s="33"/>
      <c r="J15" s="32"/>
      <c r="K15" s="32"/>
      <c r="L15" s="32"/>
      <c r="M15" s="34"/>
      <c r="N15" s="32"/>
      <c r="O15" s="35"/>
      <c r="P15" s="32"/>
      <c r="Q15" s="35"/>
      <c r="R15" s="32"/>
      <c r="S15" s="34"/>
      <c r="T15" s="34"/>
      <c r="U15" s="35"/>
      <c r="V15" s="40"/>
      <c r="W15" s="41"/>
      <c r="X15" s="41"/>
      <c r="Y15" s="46"/>
      <c r="Z15" s="46"/>
      <c r="AA15" s="47"/>
      <c r="AB15" s="55"/>
      <c r="AC15" s="55"/>
      <c r="AD15" s="55"/>
      <c r="AE15" s="55"/>
      <c r="AF15" s="55"/>
      <c r="AG15" s="55"/>
      <c r="AH15" s="55"/>
      <c r="AI15" s="56"/>
      <c r="AJ15" s="55"/>
      <c r="AK15" s="55"/>
      <c r="AL15" s="55"/>
      <c r="AM15" s="57"/>
      <c r="AN15" s="57"/>
      <c r="AO15" s="57"/>
      <c r="AP15" s="59"/>
      <c r="AQ15" s="62"/>
      <c r="AR15" s="62"/>
      <c r="AS15" s="62"/>
      <c r="AT15" s="65"/>
      <c r="AU15" s="65"/>
      <c r="AV15" s="4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3"/>
      <c r="BI15" s="76"/>
      <c r="BJ15" s="77"/>
      <c r="BK15" s="76"/>
      <c r="BL15" s="76"/>
    </row>
    <row r="16" spans="1:64">
      <c r="A16" s="14"/>
      <c r="B16" s="15"/>
      <c r="C16" s="14"/>
      <c r="D16" s="22"/>
      <c r="E16" s="21"/>
      <c r="F16" s="18"/>
      <c r="G16" s="18"/>
      <c r="H16" s="32"/>
      <c r="I16" s="33"/>
      <c r="J16" s="32"/>
      <c r="K16" s="32"/>
      <c r="L16" s="32"/>
      <c r="M16" s="34"/>
      <c r="N16" s="32"/>
      <c r="O16" s="35"/>
      <c r="P16" s="32"/>
      <c r="Q16" s="35"/>
      <c r="R16" s="32"/>
      <c r="S16" s="34"/>
      <c r="T16" s="34"/>
      <c r="U16" s="35"/>
      <c r="V16" s="40"/>
      <c r="W16" s="41"/>
      <c r="X16" s="41"/>
      <c r="Y16" s="46"/>
      <c r="Z16" s="46"/>
      <c r="AA16" s="47"/>
      <c r="AB16" s="55"/>
      <c r="AC16" s="55"/>
      <c r="AD16" s="55"/>
      <c r="AE16" s="55"/>
      <c r="AF16" s="55"/>
      <c r="AG16" s="55"/>
      <c r="AH16" s="55"/>
      <c r="AI16" s="56"/>
      <c r="AJ16" s="55"/>
      <c r="AK16" s="55"/>
      <c r="AL16" s="55"/>
      <c r="AM16" s="57"/>
      <c r="AN16" s="57"/>
      <c r="AO16" s="57"/>
      <c r="AP16" s="59"/>
      <c r="AQ16" s="62"/>
      <c r="AR16" s="62"/>
      <c r="AS16" s="62"/>
      <c r="AT16" s="65"/>
      <c r="AU16" s="65"/>
      <c r="AV16" s="4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3"/>
      <c r="BI16" s="76"/>
      <c r="BJ16" s="77"/>
      <c r="BK16" s="76"/>
      <c r="BL16" s="76"/>
    </row>
    <row r="17" spans="1:64">
      <c r="A17" s="14"/>
      <c r="B17" s="15"/>
      <c r="C17" s="14"/>
      <c r="D17" s="22"/>
      <c r="E17" s="21"/>
      <c r="F17" s="18"/>
      <c r="G17" s="18"/>
      <c r="H17" s="32"/>
      <c r="I17" s="33"/>
      <c r="J17" s="32"/>
      <c r="K17" s="32"/>
      <c r="L17" s="32"/>
      <c r="M17" s="34"/>
      <c r="N17" s="32"/>
      <c r="O17" s="35"/>
      <c r="P17" s="32"/>
      <c r="Q17" s="35"/>
      <c r="R17" s="32"/>
      <c r="S17" s="34"/>
      <c r="T17" s="34"/>
      <c r="U17" s="35"/>
      <c r="V17" s="40"/>
      <c r="W17" s="41"/>
      <c r="X17" s="41"/>
      <c r="Y17" s="46"/>
      <c r="Z17" s="46"/>
      <c r="AA17" s="47"/>
      <c r="AB17" s="55"/>
      <c r="AC17" s="55"/>
      <c r="AD17" s="55"/>
      <c r="AE17" s="55"/>
      <c r="AF17" s="55"/>
      <c r="AG17" s="55"/>
      <c r="AH17" s="55"/>
      <c r="AI17" s="56"/>
      <c r="AJ17" s="55"/>
      <c r="AK17" s="55"/>
      <c r="AL17" s="55"/>
      <c r="AM17" s="57"/>
      <c r="AN17" s="57"/>
      <c r="AO17" s="57"/>
      <c r="AP17" s="59"/>
      <c r="AQ17" s="62"/>
      <c r="AR17" s="62"/>
      <c r="AS17" s="62"/>
      <c r="AT17" s="65"/>
      <c r="AU17" s="65"/>
      <c r="AV17" s="4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3"/>
      <c r="BI17" s="76"/>
      <c r="BJ17" s="77"/>
      <c r="BK17" s="76"/>
      <c r="BL17" s="76"/>
    </row>
    <row r="18" spans="1:64">
      <c r="A18" s="14"/>
      <c r="B18" s="15"/>
      <c r="C18" s="14"/>
      <c r="D18" s="22"/>
      <c r="E18" s="21"/>
      <c r="F18" s="18"/>
      <c r="G18" s="18"/>
      <c r="H18" s="32"/>
      <c r="I18" s="33"/>
      <c r="J18" s="32"/>
      <c r="K18" s="32"/>
      <c r="L18" s="32"/>
      <c r="M18" s="34"/>
      <c r="N18" s="32"/>
      <c r="O18" s="35"/>
      <c r="P18" s="32"/>
      <c r="Q18" s="35"/>
      <c r="R18" s="32"/>
      <c r="S18" s="34"/>
      <c r="T18" s="34"/>
      <c r="U18" s="35"/>
      <c r="V18" s="40"/>
      <c r="W18" s="41"/>
      <c r="X18" s="41"/>
      <c r="Y18" s="46"/>
      <c r="Z18" s="46"/>
      <c r="AA18" s="47"/>
      <c r="AB18" s="55"/>
      <c r="AC18" s="55"/>
      <c r="AD18" s="55"/>
      <c r="AE18" s="55"/>
      <c r="AF18" s="55"/>
      <c r="AG18" s="55"/>
      <c r="AH18" s="55"/>
      <c r="AI18" s="56"/>
      <c r="AJ18" s="55"/>
      <c r="AK18" s="55"/>
      <c r="AL18" s="55"/>
      <c r="AM18" s="57"/>
      <c r="AN18" s="57"/>
      <c r="AO18" s="57"/>
      <c r="AP18" s="59"/>
      <c r="AQ18" s="62"/>
      <c r="AR18" s="62"/>
      <c r="AS18" s="62"/>
      <c r="AT18" s="65"/>
      <c r="AU18" s="65"/>
      <c r="AV18" s="4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3"/>
      <c r="BI18" s="76"/>
      <c r="BJ18" s="77"/>
      <c r="BK18" s="76"/>
      <c r="BL18" s="76"/>
    </row>
    <row r="19" spans="1:64">
      <c r="A19" s="14"/>
      <c r="B19" s="15"/>
      <c r="C19" s="14"/>
      <c r="D19" s="22"/>
      <c r="E19" s="21"/>
      <c r="F19" s="18"/>
      <c r="G19" s="18"/>
      <c r="H19" s="32"/>
      <c r="I19" s="33"/>
      <c r="J19" s="32"/>
      <c r="K19" s="32"/>
      <c r="L19" s="32"/>
      <c r="M19" s="34"/>
      <c r="N19" s="32"/>
      <c r="O19" s="35"/>
      <c r="P19" s="32"/>
      <c r="Q19" s="35"/>
      <c r="R19" s="32"/>
      <c r="S19" s="34"/>
      <c r="T19" s="34"/>
      <c r="U19" s="35"/>
      <c r="V19" s="40"/>
      <c r="W19" s="41"/>
      <c r="X19" s="41"/>
      <c r="Y19" s="46"/>
      <c r="Z19" s="46"/>
      <c r="AA19" s="47"/>
      <c r="AB19" s="55"/>
      <c r="AC19" s="55"/>
      <c r="AD19" s="55"/>
      <c r="AE19" s="55"/>
      <c r="AF19" s="55"/>
      <c r="AG19" s="55"/>
      <c r="AH19" s="55"/>
      <c r="AI19" s="56"/>
      <c r="AJ19" s="55"/>
      <c r="AK19" s="55"/>
      <c r="AL19" s="55"/>
      <c r="AM19" s="57"/>
      <c r="AN19" s="57"/>
      <c r="AO19" s="57"/>
      <c r="AP19" s="59"/>
      <c r="AQ19" s="62"/>
      <c r="AR19" s="62"/>
      <c r="AS19" s="62"/>
      <c r="AT19" s="65"/>
      <c r="AU19" s="65"/>
      <c r="AV19" s="4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3"/>
      <c r="BI19" s="76"/>
      <c r="BJ19" s="77"/>
      <c r="BK19" s="76"/>
      <c r="BL19" s="76"/>
    </row>
    <row r="20" spans="1:64">
      <c r="A20" s="14"/>
      <c r="B20" s="15"/>
      <c r="C20" s="14"/>
      <c r="D20" s="22"/>
      <c r="E20" s="21"/>
      <c r="F20" s="18"/>
      <c r="G20" s="18"/>
      <c r="H20" s="32"/>
      <c r="I20" s="33"/>
      <c r="J20" s="32"/>
      <c r="K20" s="32"/>
      <c r="L20" s="32"/>
      <c r="M20" s="34"/>
      <c r="N20" s="32"/>
      <c r="O20" s="35"/>
      <c r="P20" s="32"/>
      <c r="Q20" s="35"/>
      <c r="R20" s="32"/>
      <c r="S20" s="34"/>
      <c r="T20" s="34"/>
      <c r="U20" s="35"/>
      <c r="V20" s="40"/>
      <c r="W20" s="41"/>
      <c r="X20" s="41"/>
      <c r="Y20" s="46"/>
      <c r="Z20" s="46"/>
      <c r="AA20" s="47"/>
      <c r="AB20" s="55"/>
      <c r="AC20" s="55"/>
      <c r="AD20" s="55"/>
      <c r="AE20" s="55"/>
      <c r="AF20" s="55"/>
      <c r="AG20" s="55"/>
      <c r="AH20" s="55"/>
      <c r="AI20" s="56"/>
      <c r="AJ20" s="55"/>
      <c r="AK20" s="55"/>
      <c r="AL20" s="55"/>
      <c r="AM20" s="57"/>
      <c r="AN20" s="57"/>
      <c r="AO20" s="57"/>
      <c r="AP20" s="59"/>
      <c r="AQ20" s="62"/>
      <c r="AR20" s="62"/>
      <c r="AS20" s="62"/>
      <c r="AT20" s="65"/>
      <c r="AU20" s="65"/>
      <c r="AV20" s="4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3"/>
      <c r="BI20" s="76"/>
      <c r="BJ20" s="77"/>
      <c r="BK20" s="76"/>
      <c r="BL20" s="76"/>
    </row>
    <row r="21" spans="1:64">
      <c r="A21" s="14"/>
      <c r="B21" s="15"/>
      <c r="C21" s="14"/>
      <c r="D21" s="22"/>
      <c r="E21" s="21"/>
      <c r="F21" s="18"/>
      <c r="G21" s="18"/>
      <c r="H21" s="32"/>
      <c r="I21" s="33"/>
      <c r="J21" s="32"/>
      <c r="K21" s="32"/>
      <c r="L21" s="32"/>
      <c r="M21" s="34"/>
      <c r="N21" s="32"/>
      <c r="O21" s="35"/>
      <c r="P21" s="32"/>
      <c r="Q21" s="35"/>
      <c r="R21" s="32"/>
      <c r="S21" s="34"/>
      <c r="T21" s="34"/>
      <c r="U21" s="35"/>
      <c r="V21" s="40"/>
      <c r="W21" s="41"/>
      <c r="X21" s="41"/>
      <c r="Y21" s="46"/>
      <c r="Z21" s="46"/>
      <c r="AA21" s="47"/>
      <c r="AB21" s="55"/>
      <c r="AC21" s="55"/>
      <c r="AD21" s="55"/>
      <c r="AE21" s="55"/>
      <c r="AF21" s="55"/>
      <c r="AG21" s="55"/>
      <c r="AH21" s="55"/>
      <c r="AI21" s="56"/>
      <c r="AJ21" s="55"/>
      <c r="AK21" s="55"/>
      <c r="AL21" s="55"/>
      <c r="AM21" s="57"/>
      <c r="AN21" s="57"/>
      <c r="AO21" s="57"/>
      <c r="AP21" s="59"/>
      <c r="AQ21" s="62"/>
      <c r="AR21" s="62"/>
      <c r="AS21" s="62"/>
      <c r="AT21" s="65"/>
      <c r="AU21" s="65"/>
      <c r="AV21" s="4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3"/>
      <c r="BI21" s="76"/>
      <c r="BJ21" s="77"/>
      <c r="BK21" s="76"/>
      <c r="BL21" s="76"/>
    </row>
    <row r="22" spans="1:64">
      <c r="A22" s="14"/>
      <c r="B22" s="15"/>
      <c r="C22" s="14"/>
      <c r="D22" s="22"/>
      <c r="E22" s="21"/>
      <c r="F22" s="18"/>
      <c r="G22" s="18"/>
      <c r="H22" s="32"/>
      <c r="I22" s="33"/>
      <c r="J22" s="32"/>
      <c r="K22" s="32"/>
      <c r="L22" s="32"/>
      <c r="M22" s="34"/>
      <c r="N22" s="32"/>
      <c r="O22" s="35"/>
      <c r="P22" s="32"/>
      <c r="Q22" s="35"/>
      <c r="R22" s="32"/>
      <c r="S22" s="34"/>
      <c r="T22" s="34"/>
      <c r="U22" s="35"/>
      <c r="V22" s="40"/>
      <c r="W22" s="41"/>
      <c r="X22" s="41"/>
      <c r="Y22" s="46"/>
      <c r="Z22" s="46"/>
      <c r="AA22" s="47"/>
      <c r="AB22" s="55"/>
      <c r="AC22" s="55"/>
      <c r="AD22" s="55"/>
      <c r="AE22" s="55"/>
      <c r="AF22" s="55"/>
      <c r="AG22" s="55"/>
      <c r="AH22" s="55"/>
      <c r="AI22" s="56"/>
      <c r="AJ22" s="55"/>
      <c r="AK22" s="55"/>
      <c r="AL22" s="55"/>
      <c r="AM22" s="57"/>
      <c r="AN22" s="57"/>
      <c r="AO22" s="57"/>
      <c r="AP22" s="59"/>
      <c r="AQ22" s="62"/>
      <c r="AR22" s="62"/>
      <c r="AS22" s="62"/>
      <c r="AT22" s="65"/>
      <c r="AU22" s="65"/>
      <c r="AV22" s="4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3"/>
      <c r="BI22" s="76"/>
      <c r="BJ22" s="77"/>
      <c r="BK22" s="76"/>
      <c r="BL22" s="76"/>
    </row>
    <row r="23" spans="1:64">
      <c r="A23" s="14"/>
      <c r="B23" s="15"/>
      <c r="C23" s="14"/>
      <c r="D23" s="22"/>
      <c r="E23" s="21"/>
      <c r="F23" s="18"/>
      <c r="G23" s="18"/>
      <c r="H23" s="32"/>
      <c r="I23" s="33"/>
      <c r="J23" s="32"/>
      <c r="K23" s="32"/>
      <c r="L23" s="32"/>
      <c r="M23" s="34"/>
      <c r="N23" s="32"/>
      <c r="O23" s="35"/>
      <c r="P23" s="32"/>
      <c r="Q23" s="35"/>
      <c r="R23" s="32"/>
      <c r="S23" s="34"/>
      <c r="T23" s="34"/>
      <c r="U23" s="35"/>
      <c r="V23" s="40"/>
      <c r="W23" s="41"/>
      <c r="X23" s="41"/>
      <c r="Y23" s="46"/>
      <c r="Z23" s="46"/>
      <c r="AA23" s="47"/>
      <c r="AB23" s="55"/>
      <c r="AC23" s="55"/>
      <c r="AD23" s="55"/>
      <c r="AE23" s="55"/>
      <c r="AF23" s="55"/>
      <c r="AG23" s="55"/>
      <c r="AH23" s="55"/>
      <c r="AI23" s="56"/>
      <c r="AJ23" s="55"/>
      <c r="AK23" s="55"/>
      <c r="AL23" s="55"/>
      <c r="AM23" s="57"/>
      <c r="AN23" s="57"/>
      <c r="AO23" s="57"/>
      <c r="AP23" s="59"/>
      <c r="AQ23" s="62"/>
      <c r="AR23" s="62"/>
      <c r="AS23" s="62"/>
      <c r="AT23" s="65"/>
      <c r="AU23" s="65"/>
      <c r="AV23" s="4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3"/>
      <c r="BI23" s="76"/>
      <c r="BJ23" s="77"/>
      <c r="BK23" s="76"/>
      <c r="BL23" s="76"/>
    </row>
    <row r="24" spans="1:64">
      <c r="A24" s="14"/>
      <c r="B24" s="15"/>
      <c r="C24" s="14"/>
      <c r="D24" s="22"/>
      <c r="E24" s="21"/>
      <c r="F24" s="18"/>
      <c r="G24" s="18"/>
      <c r="H24" s="32"/>
      <c r="I24" s="33"/>
      <c r="J24" s="32"/>
      <c r="K24" s="32"/>
      <c r="L24" s="32"/>
      <c r="M24" s="34"/>
      <c r="N24" s="32"/>
      <c r="O24" s="35"/>
      <c r="P24" s="32"/>
      <c r="Q24" s="35"/>
      <c r="R24" s="32"/>
      <c r="S24" s="34"/>
      <c r="T24" s="34"/>
      <c r="U24" s="35"/>
      <c r="V24" s="40"/>
      <c r="W24" s="41"/>
      <c r="X24" s="41"/>
      <c r="Y24" s="46"/>
      <c r="Z24" s="46"/>
      <c r="AA24" s="47"/>
      <c r="AB24" s="55"/>
      <c r="AC24" s="55"/>
      <c r="AD24" s="55"/>
      <c r="AE24" s="55"/>
      <c r="AF24" s="55"/>
      <c r="AG24" s="55"/>
      <c r="AH24" s="55"/>
      <c r="AI24" s="56"/>
      <c r="AJ24" s="55"/>
      <c r="AK24" s="55"/>
      <c r="AL24" s="55"/>
      <c r="AM24" s="57"/>
      <c r="AN24" s="57"/>
      <c r="AO24" s="57"/>
      <c r="AP24" s="59"/>
      <c r="AQ24" s="62"/>
      <c r="AR24" s="62"/>
      <c r="AS24" s="62"/>
      <c r="AT24" s="65"/>
      <c r="AU24" s="65"/>
      <c r="AV24" s="4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3"/>
      <c r="BI24" s="76"/>
      <c r="BJ24" s="77"/>
      <c r="BK24" s="76"/>
      <c r="BL24" s="76"/>
    </row>
    <row r="25" spans="1:64">
      <c r="A25" s="14"/>
      <c r="B25" s="15"/>
      <c r="C25" s="14"/>
      <c r="D25" s="22"/>
      <c r="E25" s="21"/>
      <c r="F25" s="18"/>
      <c r="G25" s="18"/>
      <c r="H25" s="32"/>
      <c r="I25" s="33"/>
      <c r="J25" s="32"/>
      <c r="K25" s="32"/>
      <c r="L25" s="32"/>
      <c r="M25" s="34"/>
      <c r="N25" s="32"/>
      <c r="O25" s="35"/>
      <c r="P25" s="32"/>
      <c r="Q25" s="35"/>
      <c r="R25" s="32"/>
      <c r="S25" s="34"/>
      <c r="T25" s="34"/>
      <c r="U25" s="35"/>
      <c r="V25" s="40"/>
      <c r="W25" s="41"/>
      <c r="X25" s="41"/>
      <c r="Y25" s="46"/>
      <c r="Z25" s="46"/>
      <c r="AA25" s="47"/>
      <c r="AB25" s="55"/>
      <c r="AC25" s="55"/>
      <c r="AD25" s="55"/>
      <c r="AE25" s="55"/>
      <c r="AF25" s="55"/>
      <c r="AG25" s="55"/>
      <c r="AH25" s="55"/>
      <c r="AI25" s="56"/>
      <c r="AJ25" s="55"/>
      <c r="AK25" s="55"/>
      <c r="AL25" s="55"/>
      <c r="AM25" s="57"/>
      <c r="AN25" s="57"/>
      <c r="AO25" s="57"/>
      <c r="AP25" s="59"/>
      <c r="AQ25" s="62"/>
      <c r="AR25" s="62"/>
      <c r="AS25" s="62"/>
      <c r="AT25" s="65"/>
      <c r="AU25" s="65"/>
      <c r="AV25" s="4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3"/>
      <c r="BI25" s="76"/>
      <c r="BJ25" s="77"/>
      <c r="BK25" s="76"/>
      <c r="BL25" s="76"/>
    </row>
    <row r="26" spans="1:64">
      <c r="A26" s="14"/>
      <c r="B26" s="15"/>
      <c r="C26" s="14"/>
      <c r="D26" s="22"/>
      <c r="E26" s="21"/>
      <c r="F26" s="18"/>
      <c r="G26" s="18"/>
      <c r="H26" s="32"/>
      <c r="I26" s="33"/>
      <c r="J26" s="32"/>
      <c r="K26" s="32"/>
      <c r="L26" s="32"/>
      <c r="M26" s="34"/>
      <c r="N26" s="32"/>
      <c r="O26" s="35"/>
      <c r="P26" s="32"/>
      <c r="Q26" s="35"/>
      <c r="R26" s="32"/>
      <c r="S26" s="34"/>
      <c r="T26" s="34"/>
      <c r="U26" s="35"/>
      <c r="V26" s="40"/>
      <c r="W26" s="41"/>
      <c r="X26" s="41"/>
      <c r="Y26" s="46"/>
      <c r="Z26" s="46"/>
      <c r="AA26" s="47"/>
      <c r="AB26" s="55"/>
      <c r="AC26" s="55"/>
      <c r="AD26" s="55"/>
      <c r="AE26" s="55"/>
      <c r="AF26" s="55"/>
      <c r="AG26" s="55"/>
      <c r="AH26" s="55"/>
      <c r="AI26" s="56"/>
      <c r="AJ26" s="55"/>
      <c r="AK26" s="55"/>
      <c r="AL26" s="55"/>
      <c r="AM26" s="57"/>
      <c r="AN26" s="57"/>
      <c r="AO26" s="57"/>
      <c r="AP26" s="59"/>
      <c r="AQ26" s="62"/>
      <c r="AR26" s="62"/>
      <c r="AS26" s="62"/>
      <c r="AT26" s="65"/>
      <c r="AU26" s="65"/>
      <c r="AV26" s="4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3"/>
      <c r="BI26" s="76"/>
      <c r="BJ26" s="77"/>
      <c r="BK26" s="76"/>
      <c r="BL26" s="76"/>
    </row>
  </sheetData>
  <sheetProtection password="E612" sheet="1" objects="1" scenarios="1"/>
  <mergeCells count="12">
    <mergeCell ref="AW1:BG3"/>
    <mergeCell ref="BI1:BL3"/>
    <mergeCell ref="A2:C3"/>
    <mergeCell ref="D2:G2"/>
    <mergeCell ref="H2:U2"/>
    <mergeCell ref="Y2:AA2"/>
    <mergeCell ref="AB2:AO2"/>
    <mergeCell ref="V2:X2"/>
    <mergeCell ref="D1:U1"/>
    <mergeCell ref="AP2:AP3"/>
    <mergeCell ref="AQ2:AS3"/>
    <mergeCell ref="AT2:AU3"/>
  </mergeCells>
  <conditionalFormatting sqref="AA5">
    <cfRule type="cellIs" dxfId="0" priority="1" operator="greaterThan">
      <formula>"&gt;5"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E15" sqref="E15:F15"/>
    </sheetView>
  </sheetViews>
  <sheetFormatPr defaultRowHeight="15"/>
  <cols>
    <col min="1" max="1" width="5.85546875" bestFit="1" customWidth="1"/>
    <col min="2" max="3" width="5.7109375" bestFit="1" customWidth="1"/>
    <col min="4" max="4" width="3.140625" bestFit="1" customWidth="1"/>
    <col min="6" max="6" width="5" bestFit="1" customWidth="1"/>
  </cols>
  <sheetData>
    <row r="1" spans="1:6">
      <c r="A1" s="98" t="s">
        <v>78</v>
      </c>
      <c r="B1" s="99"/>
      <c r="C1" s="99"/>
      <c r="D1" s="99"/>
      <c r="E1" s="99"/>
      <c r="F1" s="100" t="s">
        <v>77</v>
      </c>
    </row>
    <row r="2" spans="1:6">
      <c r="A2" s="99"/>
      <c r="B2" s="99"/>
      <c r="C2" s="99"/>
      <c r="D2" s="99"/>
      <c r="E2" s="99"/>
      <c r="F2" s="101"/>
    </row>
    <row r="3" spans="1:6">
      <c r="A3" s="99"/>
      <c r="B3" s="99"/>
      <c r="C3" s="99"/>
      <c r="D3" s="99"/>
      <c r="E3" s="99"/>
      <c r="F3" s="3">
        <v>20</v>
      </c>
    </row>
    <row r="4" spans="1:6" ht="18">
      <c r="A4" s="5"/>
      <c r="B4" s="6" t="s">
        <v>58</v>
      </c>
      <c r="C4" s="7" t="s">
        <v>75</v>
      </c>
      <c r="D4" s="7" t="s">
        <v>76</v>
      </c>
      <c r="E4" s="102" t="s">
        <v>59</v>
      </c>
      <c r="F4" s="97"/>
    </row>
    <row r="5" spans="1:6">
      <c r="A5" s="8" t="s">
        <v>51</v>
      </c>
      <c r="B5" s="9">
        <f>0.009645*$F$3^2+1.984*$F$3+62.28</f>
        <v>105.818</v>
      </c>
      <c r="C5" s="9">
        <f>0.03174*$F$3^2+2.334*$F$3+132.3</f>
        <v>191.67600000000002</v>
      </c>
      <c r="D5" s="10">
        <v>2.8</v>
      </c>
      <c r="E5" s="96">
        <v>2</v>
      </c>
      <c r="F5" s="97"/>
    </row>
    <row r="6" spans="1:6">
      <c r="A6" s="8" t="s">
        <v>52</v>
      </c>
      <c r="B6" s="9">
        <f>0.01068*$F$3^2+1.695*$F$3+57.16</f>
        <v>95.331999999999994</v>
      </c>
      <c r="C6" s="9">
        <f>0.02453*$F$3^2+1.915*$F$3+80.5</f>
        <v>128.61199999999999</v>
      </c>
      <c r="D6" s="10">
        <v>2.1</v>
      </c>
      <c r="E6" s="96">
        <v>2</v>
      </c>
      <c r="F6" s="97"/>
    </row>
    <row r="7" spans="1:6">
      <c r="A7" s="8" t="s">
        <v>53</v>
      </c>
      <c r="B7" s="9">
        <f>0.003763*$F$3^2+0.877*$F$3+26.23</f>
        <v>45.275199999999998</v>
      </c>
      <c r="C7" s="9">
        <f>0.00027*$F$3^2+1.141*$F$3+32.07</f>
        <v>54.998000000000005</v>
      </c>
      <c r="D7" s="10">
        <v>1.7</v>
      </c>
      <c r="E7" s="96">
        <v>1</v>
      </c>
      <c r="F7" s="97"/>
    </row>
    <row r="8" spans="1:6">
      <c r="A8" s="8" t="s">
        <v>13</v>
      </c>
      <c r="B8" s="9">
        <f>0.003341*$F$3^2+1.285*$F$3+39.04</f>
        <v>66.076400000000007</v>
      </c>
      <c r="C8" s="9">
        <f>0.00132*$F$3^2+0.607*$F$3+11.19</f>
        <v>23.858000000000001</v>
      </c>
      <c r="D8" s="10">
        <v>0.3</v>
      </c>
      <c r="E8" s="96">
        <v>1</v>
      </c>
      <c r="F8" s="97"/>
    </row>
    <row r="9" spans="1:6">
      <c r="A9" s="8" t="s">
        <v>12</v>
      </c>
      <c r="B9" s="9">
        <f>0.003046*$F$3^2+1.261*$F$3+40.7</f>
        <v>67.138400000000004</v>
      </c>
      <c r="C9" s="9">
        <f>0.00535*$F$3^2+0.9316*$F$3+22.59</f>
        <v>43.361999999999995</v>
      </c>
      <c r="D9" s="10">
        <v>1.5</v>
      </c>
      <c r="E9" s="96">
        <v>1</v>
      </c>
      <c r="F9" s="97"/>
    </row>
    <row r="10" spans="1:6">
      <c r="A10" s="8" t="s">
        <v>54</v>
      </c>
      <c r="B10" s="9">
        <f>0.003817*$F$3^2+1.337*$F$3+40.99</f>
        <v>69.256799999999998</v>
      </c>
      <c r="C10" s="9">
        <f>0.00613*$F$3^2+0.9469*$F$3+22.01</f>
        <v>43.400000000000006</v>
      </c>
      <c r="D10" s="10">
        <v>1.5</v>
      </c>
      <c r="E10" s="96">
        <v>1</v>
      </c>
      <c r="F10" s="97"/>
    </row>
    <row r="11" spans="1:6">
      <c r="A11" s="8" t="s">
        <v>60</v>
      </c>
      <c r="B11" s="9">
        <f>0.000614*$F$3^2+0.9048*$F$3+21.14</f>
        <v>39.4816</v>
      </c>
      <c r="C11" s="9">
        <f>-0.00503*$F$3^2+0.8957*$F$3+10.97</f>
        <v>26.872</v>
      </c>
      <c r="D11" s="10">
        <v>0.1</v>
      </c>
      <c r="E11" s="96">
        <v>1</v>
      </c>
      <c r="F11" s="97"/>
    </row>
    <row r="12" spans="1:6">
      <c r="A12" s="8" t="s">
        <v>55</v>
      </c>
      <c r="B12" s="9">
        <f>0.001925*$F$3^2+1.241*$F$3+39.9</f>
        <v>65.489999999999995</v>
      </c>
      <c r="C12" s="9">
        <f>0.00118*$F$3^2+0.5045*$F$3+23.31</f>
        <v>33.872</v>
      </c>
      <c r="D12" s="10">
        <v>0.1</v>
      </c>
      <c r="E12" s="96">
        <v>1</v>
      </c>
      <c r="F12" s="97"/>
    </row>
    <row r="13" spans="1:6">
      <c r="A13" s="8" t="s">
        <v>6</v>
      </c>
      <c r="B13" s="9">
        <f>0.002764*$F$3^2+1.087*$F$3+26.66</f>
        <v>49.505600000000001</v>
      </c>
      <c r="C13" s="9">
        <f>0.00178*$F$3^2+0.6202*$F$3+19.34</f>
        <v>32.456000000000003</v>
      </c>
      <c r="D13" s="10">
        <v>0.5</v>
      </c>
      <c r="E13" s="96">
        <v>1</v>
      </c>
      <c r="F13" s="97"/>
    </row>
    <row r="14" spans="1:6">
      <c r="A14" s="8" t="s">
        <v>56</v>
      </c>
      <c r="B14" s="9">
        <f>-0.000326*$F$3^2+2.998*$F$3+64.03</f>
        <v>123.8596</v>
      </c>
      <c r="C14" s="9">
        <f>-0.00181*$F$3^2+5.542*$F$3+120.2</f>
        <v>230.316</v>
      </c>
      <c r="D14" s="10">
        <v>2.2999999999999998</v>
      </c>
      <c r="E14" s="96">
        <v>2</v>
      </c>
      <c r="F14" s="97"/>
    </row>
    <row r="15" spans="1:6">
      <c r="A15" s="8" t="s">
        <v>8</v>
      </c>
      <c r="B15" s="9">
        <f>0.01037*$F$3^2+2.838*$F$3+82.37</f>
        <v>143.27800000000002</v>
      </c>
      <c r="C15" s="9">
        <f>0.03324*$F$3^2+5.889*$F$3+193.5</f>
        <v>324.57600000000002</v>
      </c>
      <c r="D15" s="10">
        <v>2.6</v>
      </c>
      <c r="E15" s="96">
        <v>2</v>
      </c>
      <c r="F15" s="97"/>
    </row>
  </sheetData>
  <sheetProtection password="E612" sheet="1" objects="1" scenarios="1"/>
  <mergeCells count="14">
    <mergeCell ref="E15:F15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A1:E3"/>
    <mergeCell ref="F1:F2"/>
    <mergeCell ref="E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 template</vt:lpstr>
      <vt:lpstr>EC ion parameters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Marten Huizenga</dc:creator>
  <cp:lastModifiedBy>REF</cp:lastModifiedBy>
  <cp:lastPrinted>2009-04-29T12:25:12Z</cp:lastPrinted>
  <dcterms:created xsi:type="dcterms:W3CDTF">2009-04-19T12:27:31Z</dcterms:created>
  <dcterms:modified xsi:type="dcterms:W3CDTF">2012-10-16T08:37:05Z</dcterms:modified>
</cp:coreProperties>
</file>